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fbezerra/Dropbox/LAGUAZ/EAD/Digital Water/Material/Módulos Revisados/"/>
    </mc:Choice>
  </mc:AlternateContent>
  <xr:revisionPtr revIDLastSave="0" documentId="13_ncr:1_{E25A1903-C03D-1C4D-8989-ECA22E7AE6D1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BNR Design" sheetId="3" r:id="rId1"/>
    <sheet name="Fluxograma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3" l="1"/>
  <c r="G14" i="3" l="1"/>
  <c r="C12" i="3"/>
  <c r="J52" i="3" l="1"/>
  <c r="J17" i="3"/>
  <c r="C104" i="3"/>
  <c r="C14" i="3"/>
  <c r="G83" i="3" l="1"/>
  <c r="G92" i="3" s="1"/>
  <c r="G90" i="3"/>
  <c r="G98" i="3"/>
  <c r="G99" i="3" s="1"/>
  <c r="C64" i="3" l="1"/>
  <c r="C84" i="3"/>
  <c r="C86" i="3"/>
  <c r="C85" i="3"/>
  <c r="P32" i="3"/>
  <c r="G65" i="3"/>
  <c r="G46" i="3"/>
  <c r="G33" i="3"/>
  <c r="C52" i="3"/>
  <c r="C72" i="3"/>
  <c r="G59" i="3"/>
  <c r="C63" i="3"/>
  <c r="C54" i="3"/>
  <c r="C56" i="3" s="1"/>
  <c r="C55" i="3" s="1"/>
  <c r="P21" i="3"/>
  <c r="C20" i="3"/>
  <c r="C38" i="3" s="1"/>
  <c r="C19" i="3"/>
  <c r="C37" i="3" s="1"/>
  <c r="G37" i="3"/>
  <c r="P19" i="3" l="1"/>
  <c r="P20" i="3"/>
  <c r="C26" i="3" s="1"/>
  <c r="C28" i="3" s="1"/>
  <c r="C29" i="3" s="1"/>
  <c r="P7" i="3"/>
  <c r="P8" i="3"/>
  <c r="P9" i="3"/>
  <c r="G63" i="3"/>
  <c r="C74" i="3" s="1"/>
  <c r="G76" i="3" s="1"/>
  <c r="G77" i="3" s="1"/>
  <c r="P33" i="3"/>
  <c r="P31" i="3"/>
  <c r="C87" i="3"/>
  <c r="G38" i="3"/>
  <c r="C32" i="3" l="1"/>
  <c r="C33" i="3" s="1"/>
  <c r="C75" i="3"/>
  <c r="G71" i="3" s="1"/>
  <c r="C89" i="3"/>
  <c r="C90" i="3"/>
  <c r="C35" i="3"/>
  <c r="C78" i="3" l="1"/>
  <c r="G73" i="3" s="1"/>
  <c r="C34" i="3"/>
  <c r="C36" i="3" s="1"/>
  <c r="G25" i="3"/>
  <c r="C48" i="3" l="1"/>
  <c r="C50" i="3" s="1"/>
  <c r="C39" i="3"/>
  <c r="C47" i="3" s="1"/>
  <c r="C41" i="3"/>
  <c r="G61" i="3" s="1"/>
  <c r="C62" i="3" l="1"/>
  <c r="C61" i="3"/>
  <c r="C49" i="3"/>
  <c r="G27" i="3"/>
  <c r="G49" i="3"/>
  <c r="G43" i="3"/>
  <c r="G60" i="3"/>
  <c r="G62" i="3" s="1"/>
  <c r="G74" i="3" s="1"/>
  <c r="G78" i="3" s="1"/>
  <c r="G48" i="3"/>
  <c r="G86" i="3" l="1"/>
  <c r="G89" i="3" s="1"/>
  <c r="G85" i="3"/>
  <c r="G29" i="3"/>
  <c r="G34" i="3" s="1"/>
  <c r="C97" i="3"/>
  <c r="G50" i="3"/>
  <c r="G51" i="3" s="1"/>
  <c r="G52" i="3" s="1"/>
  <c r="G55" i="3" s="1"/>
  <c r="C91" i="3"/>
  <c r="C105" i="3" s="1"/>
  <c r="G36" i="3" l="1"/>
  <c r="C103" i="3"/>
  <c r="G93" i="3"/>
  <c r="G94" i="3" s="1"/>
  <c r="G91" i="3"/>
  <c r="G12" i="3" s="1"/>
  <c r="G42" i="3"/>
  <c r="G44" i="3" s="1"/>
  <c r="H44" i="3" s="1"/>
  <c r="G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Luis</author>
    <author>Luiz</author>
    <author>Luiz Bezerra</author>
  </authors>
  <commentList>
    <comment ref="P6" authorId="0" shapeId="0" xr:uid="{00000000-0006-0000-0000-000001000000}">
      <text>
        <r>
          <rPr>
            <sz val="8"/>
            <color indexed="81"/>
            <rFont val="Tahoma"/>
            <family val="2"/>
          </rPr>
          <t>Calculado na temperatura T (°C) de operação do reator.</t>
        </r>
      </text>
    </comment>
    <comment ref="B12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 Vazão afluente
</t>
        </r>
      </text>
    </comment>
    <comment ref="G12" authorId="1" shapeId="0" xr:uid="{00000000-0006-0000-0000-000003000000}">
      <text>
        <r>
          <rPr>
            <sz val="8"/>
            <color rgb="FF000000"/>
            <rFont val="Tahoma"/>
            <family val="2"/>
          </rPr>
          <t>Está descontado o valor do descarte de lodo</t>
        </r>
      </text>
    </comment>
    <comment ref="B1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DBO</t>
        </r>
      </text>
    </comment>
    <comment ref="B14" authorId="0" shapeId="0" xr:uid="{00000000-0006-0000-0000-000005000000}">
      <text>
        <r>
          <rPr>
            <sz val="8"/>
            <color indexed="81"/>
            <rFont val="Tahoma"/>
            <family val="2"/>
          </rPr>
          <t>DQO</t>
        </r>
      </text>
    </comment>
    <comment ref="F16" authorId="1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Nitrogênio amoniacal.
</t>
        </r>
        <r>
          <rPr>
            <sz val="8"/>
            <color rgb="FF000000"/>
            <rFont val="Tahoma"/>
            <family val="2"/>
          </rPr>
          <t xml:space="preserve">Atentar ao limite legal de 20 mg/L (CONAMA 357/05) </t>
        </r>
      </text>
    </comment>
    <comment ref="F17" authorId="1" shapeId="0" xr:uid="{00000000-0006-0000-0000-000007000000}">
      <text>
        <r>
          <rPr>
            <sz val="8"/>
            <color rgb="FF000000"/>
            <rFont val="Tahoma"/>
            <family val="2"/>
          </rPr>
          <t xml:space="preserve">Variar a concentração para obter uma IR entre 3 - 4.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OBS: Concentração de Nitrato na saída do DN/N-Tanks</t>
        </r>
      </text>
    </comment>
    <comment ref="F18" authorId="2" shapeId="0" xr:uid="{00000000-0006-0000-0000-000008000000}">
      <text>
        <r>
          <rPr>
            <sz val="8"/>
            <color rgb="FF000000"/>
            <rFont val="Tahoma"/>
            <family val="2"/>
          </rPr>
          <t xml:space="preserve">Saída do DN-Tank 2
</t>
        </r>
      </text>
    </comment>
    <comment ref="P18" authorId="0" shapeId="0" xr:uid="{00000000-0006-0000-0000-000009000000}">
      <text>
        <r>
          <rPr>
            <sz val="8"/>
            <color indexed="81"/>
            <rFont val="Tahoma"/>
            <family val="2"/>
          </rPr>
          <t>Calculado na temperatura T (°C) de operação do reator.</t>
        </r>
      </text>
    </comment>
    <comment ref="G27" authorId="1" shapeId="0" xr:uid="{00000000-0006-0000-0000-00000A000000}">
      <text>
        <r>
          <rPr>
            <sz val="8"/>
            <color rgb="FF000000"/>
            <rFont val="Tahoma"/>
            <family val="2"/>
          </rPr>
          <t>Se estiver fora do valor típico alterar a saída de N-NO3</t>
        </r>
      </text>
    </comment>
    <comment ref="C29" authorId="1" shapeId="0" xr:uid="{00000000-0006-0000-0000-00000B000000}">
      <text>
        <r>
          <rPr>
            <sz val="8"/>
            <color rgb="FF000000"/>
            <rFont val="Tahoma"/>
            <family val="2"/>
          </rPr>
          <t>É calculado baseado na concnetração de pico/média de TKN</t>
        </r>
      </text>
    </comment>
    <comment ref="P30" authorId="0" shapeId="0" xr:uid="{00000000-0006-0000-0000-00000C000000}">
      <text>
        <r>
          <rPr>
            <sz val="8"/>
            <color indexed="81"/>
            <rFont val="Tahoma"/>
            <family val="2"/>
          </rPr>
          <t>Calculado na temperatura T (°C) de operação do reator.</t>
        </r>
      </text>
    </comment>
    <comment ref="F31" authorId="1" shapeId="0" xr:uid="{00000000-0006-0000-0000-00000D000000}">
      <text>
        <r>
          <rPr>
            <sz val="8"/>
            <color rgb="FF000000"/>
            <rFont val="Tahoma"/>
            <family val="2"/>
          </rPr>
          <t xml:space="preserve">Realizar cálculo iterativo </t>
        </r>
      </text>
    </comment>
    <comment ref="F37" authorId="1" shapeId="0" xr:uid="{00000000-0006-0000-0000-00000E000000}">
      <text>
        <r>
          <rPr>
            <sz val="8"/>
            <color rgb="FF000000"/>
            <rFont val="Tahoma"/>
            <family val="2"/>
          </rPr>
          <t>Adotado 30% da DQO</t>
        </r>
      </text>
    </comment>
    <comment ref="B39" authorId="2" shapeId="0" xr:uid="{00000000-0006-0000-0000-00000F000000}">
      <text>
        <r>
          <rPr>
            <sz val="8"/>
            <color indexed="81"/>
            <rFont val="Tahoma"/>
            <family val="2"/>
          </rPr>
          <t>Está considerado a produção de sólidos do DN2</t>
        </r>
      </text>
    </comment>
    <comment ref="G40" authorId="1" shapeId="0" xr:uid="{00000000-0006-0000-0000-000010000000}">
      <text>
        <r>
          <rPr>
            <sz val="8"/>
            <color indexed="81"/>
            <rFont val="Tahoma"/>
            <family val="2"/>
          </rPr>
          <t>Tomar valores das Figuras 8-23 (MetCalfy p. 755).
Para as condições brasileiras usa-se o valor de 0,13gN/gSSV(Xb)</t>
        </r>
      </text>
    </comment>
    <comment ref="H44" authorId="1" shapeId="0" xr:uid="{00000000-0006-0000-0000-000011000000}">
      <text>
        <r>
          <rPr>
            <sz val="8"/>
            <color rgb="FF000000"/>
            <rFont val="Tahoma"/>
            <family val="2"/>
          </rPr>
          <t>Se estiver fora, alterar o TDH do tanque DN</t>
        </r>
      </text>
    </comment>
    <comment ref="G47" authorId="1" shapeId="0" xr:uid="{00000000-0006-0000-0000-000012000000}">
      <text>
        <r>
          <rPr>
            <sz val="8"/>
            <color rgb="FF000000"/>
            <rFont val="Tahoma"/>
            <family val="2"/>
          </rPr>
          <t>Para manter o pH na saída em torno de 7,0</t>
        </r>
      </text>
    </comment>
    <comment ref="F56" authorId="1" shapeId="0" xr:uid="{00000000-0006-0000-0000-000013000000}">
      <text>
        <r>
          <rPr>
            <sz val="8"/>
            <color indexed="81"/>
            <rFont val="Tahoma"/>
            <family val="2"/>
          </rPr>
          <t>Ajustar em relação a vazão calculada</t>
        </r>
      </text>
    </comment>
    <comment ref="G66" authorId="1" shapeId="0" xr:uid="{00000000-0006-0000-0000-000014000000}">
      <text>
        <r>
          <rPr>
            <sz val="8"/>
            <color indexed="81"/>
            <rFont val="Tahoma"/>
            <family val="2"/>
          </rPr>
          <t>Estes parâmetros depedem da pressão barométrica
OBS: Tabela D-1 Apêndice D (MetCalfy - p.1745)</t>
        </r>
      </text>
    </comment>
    <comment ref="G68" authorId="3" shapeId="0" xr:uid="{00000000-0006-0000-0000-000015000000}">
      <text>
        <r>
          <rPr>
            <sz val="8"/>
            <color indexed="81"/>
            <rFont val="Tahoma"/>
            <family val="2"/>
          </rPr>
          <t>Remoção DBO = 0,50
Remoção NTK = 0,65</t>
        </r>
      </text>
    </comment>
    <comment ref="B69" authorId="3" shapeId="0" xr:uid="{00000000-0006-0000-0000-000016000000}">
      <text>
        <r>
          <rPr>
            <sz val="8"/>
            <color indexed="81"/>
            <rFont val="Tahoma"/>
            <family val="2"/>
          </rPr>
          <t>Entrar com a altitude do local da ETE</t>
        </r>
      </text>
    </comment>
    <comment ref="G72" authorId="1" shapeId="0" xr:uid="{00000000-0006-0000-0000-000017000000}">
      <text>
        <r>
          <rPr>
            <sz val="8"/>
            <color indexed="81"/>
            <rFont val="Tahoma"/>
            <family val="2"/>
          </rPr>
          <t>Porcentagem de oxigênio que sai do tanque Usualmente entre 18 a 20%</t>
        </r>
      </text>
    </comment>
    <comment ref="G75" authorId="1" shapeId="0" xr:uid="{00000000-0006-0000-0000-000018000000}">
      <text>
        <r>
          <rPr>
            <sz val="8"/>
            <color indexed="81"/>
            <rFont val="Tahoma"/>
            <family val="2"/>
          </rPr>
          <t>Depende do difusor</t>
        </r>
      </text>
    </comment>
    <comment ref="B76" authorId="3" shapeId="0" xr:uid="{00000000-0006-0000-0000-000019000000}">
      <text>
        <r>
          <rPr>
            <sz val="8"/>
            <color indexed="81"/>
            <rFont val="Tahoma"/>
            <family val="2"/>
          </rPr>
          <t>Entrar com a pressão barométrica local</t>
        </r>
      </text>
    </comment>
    <comment ref="B77" authorId="3" shapeId="0" xr:uid="{00000000-0006-0000-0000-00001A000000}">
      <text>
        <r>
          <rPr>
            <sz val="8"/>
            <color indexed="81"/>
            <rFont val="Tahoma"/>
            <family val="2"/>
          </rPr>
          <t>Peso específico da água na temperatura de operação</t>
        </r>
      </text>
    </comment>
    <comment ref="B78" authorId="3" shapeId="0" xr:uid="{00000000-0006-0000-0000-00001B000000}">
      <text>
        <r>
          <rPr>
            <sz val="8"/>
            <color indexed="81"/>
            <rFont val="Tahoma"/>
            <family val="2"/>
          </rPr>
          <t>Pressão atmosférica em m H2O</t>
        </r>
      </text>
    </comment>
    <comment ref="B84" authorId="2" shapeId="0" xr:uid="{00000000-0006-0000-0000-00001C000000}">
      <text>
        <r>
          <rPr>
            <sz val="8"/>
            <color rgb="FF000000"/>
            <rFont val="Tahoma"/>
            <family val="2"/>
          </rPr>
          <t>S</t>
        </r>
        <r>
          <rPr>
            <vertAlign val="subscript"/>
            <sz val="8"/>
            <color rgb="FF000000"/>
            <rFont val="Tahoma"/>
            <family val="2"/>
          </rPr>
          <t>ECS</t>
        </r>
        <r>
          <rPr>
            <sz val="8"/>
            <color rgb="FF000000"/>
            <rFont val="Tahoma"/>
            <family val="2"/>
          </rPr>
          <t xml:space="preserve">: Concentração residual de ECS (External Carbon Source) </t>
        </r>
      </text>
    </comment>
    <comment ref="B88" authorId="2" shapeId="0" xr:uid="{00000000-0006-0000-0000-00001D000000}">
      <text>
        <r>
          <rPr>
            <sz val="8"/>
            <color rgb="FF000000"/>
            <rFont val="Tahoma"/>
            <family val="2"/>
          </rPr>
          <t xml:space="preserve">ECS usado = Metanol 
</t>
        </r>
      </text>
    </comment>
    <comment ref="F88" authorId="1" shapeId="0" xr:uid="{00000000-0006-0000-0000-00001E000000}">
      <text>
        <r>
          <rPr>
            <sz val="8"/>
            <color indexed="81"/>
            <rFont val="Tahoma"/>
            <family val="2"/>
          </rPr>
          <t>Atenção em relação ao Tanque DN.</t>
        </r>
      </text>
    </comment>
    <comment ref="F89" authorId="1" shapeId="0" xr:uid="{00000000-0006-0000-0000-00001F000000}">
      <text>
        <r>
          <rPr>
            <sz val="8"/>
            <color indexed="81"/>
            <rFont val="Tahoma"/>
            <family val="2"/>
          </rPr>
          <t>Valores típicos:
4000 ~ 12000 mg/L</t>
        </r>
      </text>
    </comment>
    <comment ref="F92" authorId="1" shapeId="0" xr:uid="{00000000-0006-0000-0000-000020000000}">
      <text>
        <r>
          <rPr>
            <sz val="8"/>
            <color indexed="81"/>
            <rFont val="Tahoma"/>
            <family val="2"/>
          </rPr>
          <t>Valores típicos:
16 ~ 28 m³/m² d</t>
        </r>
      </text>
    </comment>
    <comment ref="F94" authorId="1" shapeId="0" xr:uid="{00000000-0006-0000-0000-000021000000}">
      <text>
        <r>
          <rPr>
            <sz val="8"/>
            <color indexed="81"/>
            <rFont val="Tahoma"/>
            <family val="2"/>
          </rPr>
          <t>Valores típicos:
4,0 ~ 6,0 kg TSS/m² d</t>
        </r>
      </text>
    </comment>
    <comment ref="G96" authorId="1" shapeId="0" xr:uid="{00000000-0006-0000-0000-000022000000}">
      <text>
        <r>
          <rPr>
            <sz val="8"/>
            <color indexed="81"/>
            <rFont val="Tahoma"/>
            <family val="2"/>
          </rPr>
          <t>Adotado</t>
        </r>
      </text>
    </comment>
    <comment ref="G97" authorId="1" shapeId="0" xr:uid="{00000000-0006-0000-0000-000023000000}">
      <text>
        <r>
          <rPr>
            <sz val="8"/>
            <color indexed="81"/>
            <rFont val="Tahoma"/>
            <family val="2"/>
          </rPr>
          <t>Adotado</t>
        </r>
      </text>
    </comment>
  </commentList>
</comments>
</file>

<file path=xl/sharedStrings.xml><?xml version="1.0" encoding="utf-8"?>
<sst xmlns="http://schemas.openxmlformats.org/spreadsheetml/2006/main" count="364" uniqueCount="250">
  <si>
    <t>Flowrate =</t>
  </si>
  <si>
    <t>BOD =</t>
  </si>
  <si>
    <t>COD =</t>
  </si>
  <si>
    <t>COD/BOD =</t>
  </si>
  <si>
    <t>TSS =</t>
  </si>
  <si>
    <t>VSS =</t>
  </si>
  <si>
    <t>m³/d</t>
  </si>
  <si>
    <t>TKN =</t>
  </si>
  <si>
    <t>g N/m³</t>
  </si>
  <si>
    <t>g/m³</t>
  </si>
  <si>
    <t>°C</t>
  </si>
  <si>
    <t>1.2) Parâmetros do efluente (saída)</t>
  </si>
  <si>
    <t>g VSS/g VSS.d</t>
  </si>
  <si>
    <t>Y</t>
  </si>
  <si>
    <t>g VSS/g COD</t>
  </si>
  <si>
    <t>Unitless</t>
  </si>
  <si>
    <t>g COD/m³</t>
  </si>
  <si>
    <t>Coeficiente</t>
  </si>
  <si>
    <t>Unidade</t>
  </si>
  <si>
    <t>Típico (20°C)</t>
  </si>
  <si>
    <t>Calculado</t>
  </si>
  <si>
    <t>Heterotrofic coef.</t>
  </si>
  <si>
    <t>Nitrification coef.</t>
  </si>
  <si>
    <t>DO =</t>
  </si>
  <si>
    <t>d</t>
  </si>
  <si>
    <t>kg VSS/d</t>
  </si>
  <si>
    <t>S =</t>
  </si>
  <si>
    <t>FSS =</t>
  </si>
  <si>
    <t>m³</t>
  </si>
  <si>
    <t>kg</t>
  </si>
  <si>
    <t>h</t>
  </si>
  <si>
    <t>F/M =</t>
  </si>
  <si>
    <t>N/M =</t>
  </si>
  <si>
    <t>g BOD/g MLVSS.d</t>
  </si>
  <si>
    <t>g N/g MLVSS.d</t>
  </si>
  <si>
    <t>kg BOD/m³.d</t>
  </si>
  <si>
    <t>kg N/m³.d</t>
  </si>
  <si>
    <t>nbVSS =</t>
  </si>
  <si>
    <t>onde:</t>
  </si>
  <si>
    <t>unidades</t>
  </si>
  <si>
    <t>Adotado p/ cada Tanque</t>
  </si>
  <si>
    <t>T =</t>
  </si>
  <si>
    <t>H =</t>
  </si>
  <si>
    <t>F =</t>
  </si>
  <si>
    <t>m</t>
  </si>
  <si>
    <t>mm Hg</t>
  </si>
  <si>
    <t>Correção da pressão atmosférica</t>
  </si>
  <si>
    <t>g =</t>
  </si>
  <si>
    <t>MM =</t>
  </si>
  <si>
    <t>R =</t>
  </si>
  <si>
    <t>K</t>
  </si>
  <si>
    <t>kg m² / s² kg-mole K</t>
  </si>
  <si>
    <t>m/s²</t>
  </si>
  <si>
    <t>kg/kg-mole</t>
  </si>
  <si>
    <t>m²</t>
  </si>
  <si>
    <t>h =</t>
  </si>
  <si>
    <t>L =</t>
  </si>
  <si>
    <t>Area =</t>
  </si>
  <si>
    <t>B =</t>
  </si>
  <si>
    <t>m H2O</t>
  </si>
  <si>
    <t>kN/m³</t>
  </si>
  <si>
    <t>%</t>
  </si>
  <si>
    <t>kg/m³</t>
  </si>
  <si>
    <t>g/cm³</t>
  </si>
  <si>
    <t>L/h</t>
  </si>
  <si>
    <t>kg NaOH/d</t>
  </si>
  <si>
    <t>Purity =</t>
  </si>
  <si>
    <t>d =</t>
  </si>
  <si>
    <t>g TSS/m³</t>
  </si>
  <si>
    <t>m³/m².d</t>
  </si>
  <si>
    <t>kg TSS/m².d</t>
  </si>
  <si>
    <t>kg TSS/m².h</t>
  </si>
  <si>
    <t>RAS =</t>
  </si>
  <si>
    <t>HAR =</t>
  </si>
  <si>
    <t>SLR =</t>
  </si>
  <si>
    <t xml:space="preserve">m³ </t>
  </si>
  <si>
    <t>m³/h</t>
  </si>
  <si>
    <t>BS =</t>
  </si>
  <si>
    <r>
      <t>g O</t>
    </r>
    <r>
      <rPr>
        <vertAlign val="subscript"/>
        <sz val="10"/>
        <rFont val="Arial"/>
        <family val="2"/>
      </rPr>
      <t>2</t>
    </r>
    <r>
      <rPr>
        <sz val="10"/>
        <color indexed="8"/>
        <rFont val="Calibri"/>
        <family val="2"/>
      </rPr>
      <t>/m³</t>
    </r>
  </si>
  <si>
    <r>
      <t>g CaCO</t>
    </r>
    <r>
      <rPr>
        <vertAlign val="subscript"/>
        <sz val="10"/>
        <rFont val="Arial"/>
        <family val="2"/>
      </rPr>
      <t>3</t>
    </r>
    <r>
      <rPr>
        <sz val="10"/>
        <color indexed="8"/>
        <rFont val="Calibri"/>
        <family val="2"/>
      </rPr>
      <t>/m³</t>
    </r>
  </si>
  <si>
    <r>
      <t>N-NH</t>
    </r>
    <r>
      <rPr>
        <vertAlign val="subscript"/>
        <sz val="10"/>
        <color indexed="8"/>
        <rFont val="Calibri"/>
        <family val="2"/>
      </rPr>
      <t>4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</rPr>
      <t>+</t>
    </r>
    <r>
      <rPr>
        <sz val="10"/>
        <color theme="1"/>
        <rFont val="Calibri"/>
        <family val="2"/>
        <scheme val="minor"/>
      </rPr>
      <t>=</t>
    </r>
  </si>
  <si>
    <r>
      <t>N-NO</t>
    </r>
    <r>
      <rPr>
        <vertAlign val="subscript"/>
        <sz val="10"/>
        <color indexed="8"/>
        <rFont val="Calibri"/>
        <family val="2"/>
      </rPr>
      <t>3</t>
    </r>
    <r>
      <rPr>
        <vertAlign val="superscript"/>
        <sz val="10"/>
        <color indexed="8"/>
        <rFont val="Calibri"/>
        <family val="2"/>
      </rPr>
      <t>-</t>
    </r>
    <r>
      <rPr>
        <sz val="10"/>
        <color theme="1"/>
        <rFont val="Calibri"/>
        <family val="2"/>
        <scheme val="minor"/>
      </rPr>
      <t xml:space="preserve"> =</t>
    </r>
  </si>
  <si>
    <r>
      <t>T</t>
    </r>
    <r>
      <rPr>
        <vertAlign val="subscript"/>
        <sz val="10"/>
        <rFont val="Calibri"/>
        <family val="2"/>
      </rPr>
      <t>operação</t>
    </r>
    <r>
      <rPr>
        <sz val="10"/>
        <rFont val="Calibri"/>
        <family val="2"/>
      </rPr>
      <t xml:space="preserve"> =</t>
    </r>
  </si>
  <si>
    <r>
      <rPr>
        <sz val="10"/>
        <color indexed="8"/>
        <rFont val="Symbol"/>
        <family val="1"/>
        <charset val="2"/>
      </rPr>
      <t>m</t>
    </r>
    <r>
      <rPr>
        <vertAlign val="subscript"/>
        <sz val="10"/>
        <rFont val="Arial"/>
        <family val="2"/>
      </rPr>
      <t xml:space="preserve">n </t>
    </r>
    <r>
      <rPr>
        <sz val="10"/>
        <rFont val="Arial"/>
        <family val="2"/>
      </rPr>
      <t xml:space="preserve"> </t>
    </r>
    <r>
      <rPr>
        <sz val="10"/>
        <rFont val="Calibri"/>
        <family val="2"/>
      </rPr>
      <t>=</t>
    </r>
  </si>
  <si>
    <r>
      <t>SRT</t>
    </r>
    <r>
      <rPr>
        <vertAlign val="subscript"/>
        <sz val="10"/>
        <color indexed="8"/>
        <rFont val="Calibri"/>
        <family val="2"/>
      </rPr>
      <t>theor</t>
    </r>
    <r>
      <rPr>
        <sz val="10"/>
        <color theme="1"/>
        <rFont val="Calibri"/>
        <family val="2"/>
        <scheme val="minor"/>
      </rPr>
      <t xml:space="preserve"> =</t>
    </r>
  </si>
  <si>
    <r>
      <t>P</t>
    </r>
    <r>
      <rPr>
        <vertAlign val="subscript"/>
        <sz val="10"/>
        <rFont val="Arial"/>
        <family val="2"/>
      </rPr>
      <t xml:space="preserve">heterotr </t>
    </r>
    <r>
      <rPr>
        <sz val="10"/>
        <rFont val="Calibri"/>
        <family val="2"/>
      </rPr>
      <t>=</t>
    </r>
  </si>
  <si>
    <r>
      <t>P</t>
    </r>
    <r>
      <rPr>
        <vertAlign val="subscript"/>
        <sz val="10"/>
        <rFont val="Arial"/>
        <family val="2"/>
      </rPr>
      <t xml:space="preserve">cell debris </t>
    </r>
    <r>
      <rPr>
        <sz val="10"/>
        <rFont val="Calibri"/>
        <family val="2"/>
      </rPr>
      <t>=</t>
    </r>
  </si>
  <si>
    <r>
      <t>P</t>
    </r>
    <r>
      <rPr>
        <vertAlign val="subscript"/>
        <sz val="10"/>
        <rFont val="Calibri"/>
        <family val="2"/>
      </rPr>
      <t xml:space="preserve">nitrif </t>
    </r>
    <r>
      <rPr>
        <sz val="10"/>
        <rFont val="Calibri"/>
        <family val="2"/>
      </rPr>
      <t>=</t>
    </r>
  </si>
  <si>
    <r>
      <t>P</t>
    </r>
    <r>
      <rPr>
        <vertAlign val="subscript"/>
        <sz val="10"/>
        <rFont val="Arial"/>
        <family val="2"/>
      </rPr>
      <t xml:space="preserve">pVSS </t>
    </r>
    <r>
      <rPr>
        <sz val="10"/>
        <rFont val="Calibri"/>
        <family val="2"/>
      </rPr>
      <t>=</t>
    </r>
  </si>
  <si>
    <r>
      <t>P</t>
    </r>
    <r>
      <rPr>
        <vertAlign val="subscript"/>
        <sz val="10"/>
        <rFont val="Arial"/>
        <family val="2"/>
      </rPr>
      <t>nbVSSin</t>
    </r>
    <r>
      <rPr>
        <sz val="10"/>
        <rFont val="Calibri"/>
        <family val="2"/>
      </rPr>
      <t>=</t>
    </r>
  </si>
  <si>
    <r>
      <t>P</t>
    </r>
    <r>
      <rPr>
        <vertAlign val="subscript"/>
        <sz val="10"/>
        <rFont val="Arial"/>
        <family val="2"/>
      </rPr>
      <t>FSSin</t>
    </r>
    <r>
      <rPr>
        <sz val="10"/>
        <rFont val="Calibri"/>
        <family val="2"/>
      </rPr>
      <t>=</t>
    </r>
  </si>
  <si>
    <r>
      <t>N-NO</t>
    </r>
    <r>
      <rPr>
        <vertAlign val="subscript"/>
        <sz val="10"/>
        <color indexed="8"/>
        <rFont val="Calibri"/>
        <family val="2"/>
      </rPr>
      <t>x</t>
    </r>
    <r>
      <rPr>
        <vertAlign val="superscript"/>
        <sz val="10"/>
        <color indexed="8"/>
        <rFont val="Calibri"/>
        <family val="2"/>
      </rPr>
      <t>-</t>
    </r>
    <r>
      <rPr>
        <sz val="10"/>
        <color theme="1"/>
        <rFont val="Calibri"/>
        <family val="2"/>
        <scheme val="minor"/>
      </rPr>
      <t xml:space="preserve"> =</t>
    </r>
  </si>
  <si>
    <r>
      <t>M</t>
    </r>
    <r>
      <rPr>
        <vertAlign val="subscript"/>
        <sz val="10"/>
        <rFont val="Arial"/>
        <family val="2"/>
      </rPr>
      <t xml:space="preserve">TSS </t>
    </r>
    <r>
      <rPr>
        <sz val="10"/>
        <rFont val="Calibri"/>
        <family val="2"/>
      </rPr>
      <t>=</t>
    </r>
  </si>
  <si>
    <r>
      <t>M</t>
    </r>
    <r>
      <rPr>
        <vertAlign val="subscript"/>
        <sz val="10"/>
        <color indexed="8"/>
        <rFont val="Calibri"/>
        <family val="2"/>
      </rPr>
      <t>VSS</t>
    </r>
    <r>
      <rPr>
        <sz val="10"/>
        <color theme="1"/>
        <rFont val="Calibri"/>
        <family val="2"/>
        <scheme val="minor"/>
      </rPr>
      <t xml:space="preserve"> =</t>
    </r>
  </si>
  <si>
    <r>
      <t>X</t>
    </r>
    <r>
      <rPr>
        <vertAlign val="subscript"/>
        <sz val="10"/>
        <color indexed="8"/>
        <rFont val="Calibri"/>
        <family val="2"/>
      </rPr>
      <t>TSS</t>
    </r>
    <r>
      <rPr>
        <sz val="10"/>
        <color theme="1"/>
        <rFont val="Calibri"/>
        <family val="2"/>
        <scheme val="minor"/>
      </rPr>
      <t xml:space="preserve"> =</t>
    </r>
  </si>
  <si>
    <r>
      <t>X</t>
    </r>
    <r>
      <rPr>
        <vertAlign val="subscript"/>
        <sz val="10"/>
        <color indexed="8"/>
        <rFont val="Calibri"/>
        <family val="2"/>
      </rPr>
      <t>VSS</t>
    </r>
    <r>
      <rPr>
        <sz val="10"/>
        <color theme="1"/>
        <rFont val="Calibri"/>
        <family val="2"/>
        <scheme val="minor"/>
      </rPr>
      <t xml:space="preserve"> = </t>
    </r>
  </si>
  <si>
    <r>
      <rPr>
        <sz val="10"/>
        <color indexed="8"/>
        <rFont val="Symbol"/>
        <family val="1"/>
        <charset val="2"/>
      </rPr>
      <t>t</t>
    </r>
    <r>
      <rPr>
        <sz val="10"/>
        <color theme="1"/>
        <rFont val="Calibri"/>
        <family val="2"/>
        <scheme val="minor"/>
      </rPr>
      <t xml:space="preserve"> =</t>
    </r>
  </si>
  <si>
    <r>
      <t>L</t>
    </r>
    <r>
      <rPr>
        <vertAlign val="subscript"/>
        <sz val="10"/>
        <color indexed="8"/>
        <rFont val="Calibri"/>
        <family val="2"/>
      </rPr>
      <t>BOD</t>
    </r>
    <r>
      <rPr>
        <sz val="10"/>
        <color theme="1"/>
        <rFont val="Calibri"/>
        <family val="2"/>
        <scheme val="minor"/>
      </rPr>
      <t xml:space="preserve"> =</t>
    </r>
  </si>
  <si>
    <r>
      <t>L</t>
    </r>
    <r>
      <rPr>
        <vertAlign val="subscript"/>
        <sz val="10"/>
        <color indexed="8"/>
        <rFont val="Calibri"/>
        <family val="2"/>
      </rPr>
      <t>NTK</t>
    </r>
    <r>
      <rPr>
        <sz val="10"/>
        <color theme="1"/>
        <rFont val="Calibri"/>
        <family val="2"/>
        <scheme val="minor"/>
      </rPr>
      <t xml:space="preserve"> =</t>
    </r>
  </si>
  <si>
    <r>
      <t>kg O</t>
    </r>
    <r>
      <rPr>
        <vertAlign val="subscript"/>
        <sz val="10"/>
        <rFont val="Arial"/>
        <family val="2"/>
      </rPr>
      <t>2</t>
    </r>
    <r>
      <rPr>
        <sz val="10"/>
        <color indexed="8"/>
        <rFont val="Calibri"/>
        <family val="2"/>
      </rPr>
      <t>/h</t>
    </r>
  </si>
  <si>
    <r>
      <t>Z</t>
    </r>
    <r>
      <rPr>
        <vertAlign val="subscript"/>
        <sz val="10"/>
        <color indexed="8"/>
        <rFont val="Calibri"/>
        <family val="2"/>
      </rPr>
      <t>difusor</t>
    </r>
    <r>
      <rPr>
        <sz val="10"/>
        <color theme="1"/>
        <rFont val="Calibri"/>
        <family val="2"/>
        <scheme val="minor"/>
      </rPr>
      <t xml:space="preserve"> =</t>
    </r>
  </si>
  <si>
    <r>
      <t>(z</t>
    </r>
    <r>
      <rPr>
        <vertAlign val="subscript"/>
        <sz val="10"/>
        <color indexed="8"/>
        <rFont val="Calibri"/>
        <family val="2"/>
      </rPr>
      <t>b</t>
    </r>
    <r>
      <rPr>
        <sz val="10"/>
        <color theme="1"/>
        <rFont val="Calibri"/>
        <family val="2"/>
        <scheme val="minor"/>
      </rPr>
      <t xml:space="preserve"> - z</t>
    </r>
    <r>
      <rPr>
        <vertAlign val="subscript"/>
        <sz val="10"/>
        <color indexed="8"/>
        <rFont val="Calibri"/>
        <family val="2"/>
      </rPr>
      <t>a</t>
    </r>
    <r>
      <rPr>
        <sz val="10"/>
        <color theme="1"/>
        <rFont val="Calibri"/>
        <family val="2"/>
        <scheme val="minor"/>
      </rPr>
      <t>) =</t>
    </r>
  </si>
  <si>
    <r>
      <t>P</t>
    </r>
    <r>
      <rPr>
        <vertAlign val="subscript"/>
        <sz val="10"/>
        <rFont val="Calibri"/>
        <family val="2"/>
      </rPr>
      <t xml:space="preserve">water </t>
    </r>
    <r>
      <rPr>
        <sz val="10"/>
        <rFont val="Calibri"/>
        <family val="2"/>
      </rPr>
      <t>=</t>
    </r>
  </si>
  <si>
    <r>
      <t>m H</t>
    </r>
    <r>
      <rPr>
        <vertAlign val="subscript"/>
        <sz val="10"/>
        <rFont val="Arial"/>
        <family val="2"/>
      </rPr>
      <t>2</t>
    </r>
    <r>
      <rPr>
        <sz val="10"/>
        <color indexed="8"/>
        <rFont val="Calibri"/>
        <family val="2"/>
      </rPr>
      <t>O</t>
    </r>
  </si>
  <si>
    <r>
      <t>C</t>
    </r>
    <r>
      <rPr>
        <vertAlign val="subscript"/>
        <sz val="10"/>
        <rFont val="Calibri"/>
        <family val="2"/>
      </rPr>
      <t xml:space="preserve">20,H </t>
    </r>
    <r>
      <rPr>
        <sz val="10"/>
        <rFont val="Calibri"/>
        <family val="2"/>
      </rPr>
      <t>=</t>
    </r>
  </si>
  <si>
    <r>
      <t>mg O</t>
    </r>
    <r>
      <rPr>
        <vertAlign val="subscript"/>
        <sz val="10"/>
        <rFont val="Arial"/>
        <family val="2"/>
      </rPr>
      <t>2</t>
    </r>
    <r>
      <rPr>
        <sz val="10"/>
        <color indexed="8"/>
        <rFont val="Calibri"/>
        <family val="2"/>
      </rPr>
      <t>/L</t>
    </r>
  </si>
  <si>
    <r>
      <t>C</t>
    </r>
    <r>
      <rPr>
        <vertAlign val="subscript"/>
        <sz val="10"/>
        <rFont val="Calibri"/>
        <family val="2"/>
      </rPr>
      <t xml:space="preserve">T,H </t>
    </r>
    <r>
      <rPr>
        <sz val="10"/>
        <rFont val="Calibri"/>
        <family val="2"/>
      </rPr>
      <t>=</t>
    </r>
  </si>
  <si>
    <r>
      <t>P</t>
    </r>
    <r>
      <rPr>
        <vertAlign val="subscript"/>
        <sz val="10"/>
        <rFont val="Calibri"/>
        <family val="2"/>
      </rPr>
      <t>b</t>
    </r>
    <r>
      <rPr>
        <sz val="10"/>
        <rFont val="Calibri"/>
        <family val="2"/>
      </rPr>
      <t xml:space="preserve"> / P</t>
    </r>
    <r>
      <rPr>
        <vertAlign val="subscript"/>
        <sz val="10"/>
        <rFont val="Calibri"/>
        <family val="2"/>
      </rPr>
      <t>a</t>
    </r>
    <r>
      <rPr>
        <sz val="10"/>
        <rFont val="Calibri"/>
        <family val="2"/>
      </rPr>
      <t xml:space="preserve"> = </t>
    </r>
  </si>
  <si>
    <r>
      <t>a</t>
    </r>
    <r>
      <rPr>
        <sz val="10"/>
        <rFont val="Calibri"/>
        <family val="2"/>
      </rPr>
      <t xml:space="preserve"> =</t>
    </r>
  </si>
  <si>
    <r>
      <t>P</t>
    </r>
    <r>
      <rPr>
        <vertAlign val="subscript"/>
        <sz val="10"/>
        <rFont val="Calibri"/>
        <family val="2"/>
      </rPr>
      <t xml:space="preserve">atm </t>
    </r>
    <r>
      <rPr>
        <sz val="10"/>
        <rFont val="Calibri"/>
        <family val="2"/>
      </rPr>
      <t>=</t>
    </r>
  </si>
  <si>
    <r>
      <t>b</t>
    </r>
    <r>
      <rPr>
        <sz val="10"/>
        <rFont val="Calibri"/>
        <family val="2"/>
      </rPr>
      <t xml:space="preserve"> =</t>
    </r>
  </si>
  <si>
    <r>
      <t>g</t>
    </r>
    <r>
      <rPr>
        <vertAlign val="subscript"/>
        <sz val="10"/>
        <color indexed="8"/>
        <rFont val="Calibri"/>
        <family val="2"/>
      </rPr>
      <t>H20</t>
    </r>
    <r>
      <rPr>
        <sz val="10"/>
        <color theme="1"/>
        <rFont val="Calibri"/>
        <family val="2"/>
        <scheme val="minor"/>
      </rPr>
      <t xml:space="preserve"> =</t>
    </r>
  </si>
  <si>
    <r>
      <t>C</t>
    </r>
    <r>
      <rPr>
        <vertAlign val="subscript"/>
        <sz val="10"/>
        <rFont val="Calibri"/>
        <family val="2"/>
      </rPr>
      <t>s,T,H</t>
    </r>
    <r>
      <rPr>
        <sz val="10"/>
        <rFont val="Calibri"/>
        <family val="2"/>
      </rPr>
      <t xml:space="preserve"> =</t>
    </r>
  </si>
  <si>
    <r>
      <t>O</t>
    </r>
    <r>
      <rPr>
        <vertAlign val="subscript"/>
        <sz val="10"/>
        <rFont val="Calibri"/>
        <family val="2"/>
      </rPr>
      <t>TA</t>
    </r>
    <r>
      <rPr>
        <sz val="10"/>
        <rFont val="Calibri"/>
        <family val="2"/>
      </rPr>
      <t xml:space="preserve"> =</t>
    </r>
  </si>
  <si>
    <r>
      <t>C</t>
    </r>
    <r>
      <rPr>
        <vertAlign val="subscript"/>
        <sz val="10"/>
        <rFont val="Calibri"/>
        <family val="2"/>
      </rPr>
      <t xml:space="preserve">ŝ,T,H </t>
    </r>
    <r>
      <rPr>
        <sz val="10"/>
        <rFont val="Calibri"/>
        <family val="2"/>
      </rPr>
      <t>=</t>
    </r>
  </si>
  <si>
    <r>
      <t>Q</t>
    </r>
    <r>
      <rPr>
        <vertAlign val="subscript"/>
        <sz val="10"/>
        <rFont val="Calibri"/>
        <family val="2"/>
      </rPr>
      <t xml:space="preserve">O2 </t>
    </r>
    <r>
      <rPr>
        <sz val="10"/>
        <rFont val="Calibri"/>
        <family val="2"/>
      </rPr>
      <t>=</t>
    </r>
  </si>
  <si>
    <r>
      <t>e</t>
    </r>
    <r>
      <rPr>
        <sz val="10"/>
        <rFont val="Calibri"/>
        <family val="2"/>
      </rPr>
      <t xml:space="preserve"> =</t>
    </r>
  </si>
  <si>
    <r>
      <t>r</t>
    </r>
    <r>
      <rPr>
        <vertAlign val="subscript"/>
        <sz val="10"/>
        <rFont val="Calibri"/>
        <family val="2"/>
      </rPr>
      <t>ar</t>
    </r>
    <r>
      <rPr>
        <sz val="10"/>
        <rFont val="Calibri"/>
        <family val="2"/>
      </rPr>
      <t xml:space="preserve"> =</t>
    </r>
  </si>
  <si>
    <r>
      <t>C</t>
    </r>
    <r>
      <rPr>
        <vertAlign val="subscript"/>
        <sz val="10"/>
        <rFont val="Calibri"/>
        <family val="2"/>
      </rPr>
      <t>O2|ar</t>
    </r>
    <r>
      <rPr>
        <sz val="10"/>
        <rFont val="Calibri"/>
        <family val="2"/>
      </rPr>
      <t xml:space="preserve"> =</t>
    </r>
  </si>
  <si>
    <r>
      <t>kg O</t>
    </r>
    <r>
      <rPr>
        <vertAlign val="sub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/m³ ar</t>
    </r>
  </si>
  <si>
    <r>
      <t>Alk</t>
    </r>
    <r>
      <rPr>
        <vertAlign val="subscript"/>
        <sz val="10"/>
        <rFont val="Calibri"/>
        <family val="2"/>
      </rPr>
      <t xml:space="preserve">0 </t>
    </r>
    <r>
      <rPr>
        <sz val="10"/>
        <rFont val="Calibri"/>
        <family val="2"/>
      </rPr>
      <t>=</t>
    </r>
  </si>
  <si>
    <r>
      <t>g CaCO</t>
    </r>
    <r>
      <rPr>
        <vertAlign val="subscript"/>
        <sz val="10"/>
        <rFont val="Calibri"/>
        <family val="2"/>
      </rPr>
      <t>3</t>
    </r>
    <r>
      <rPr>
        <sz val="10"/>
        <color indexed="8"/>
        <rFont val="Calibri"/>
        <family val="2"/>
      </rPr>
      <t>/m³</t>
    </r>
  </si>
  <si>
    <r>
      <t>Alk</t>
    </r>
    <r>
      <rPr>
        <vertAlign val="subscript"/>
        <sz val="10"/>
        <rFont val="Calibri"/>
        <family val="2"/>
      </rPr>
      <t xml:space="preserve">e </t>
    </r>
    <r>
      <rPr>
        <sz val="10"/>
        <rFont val="Calibri"/>
        <family val="2"/>
      </rPr>
      <t>=</t>
    </r>
  </si>
  <si>
    <r>
      <t>Alk</t>
    </r>
    <r>
      <rPr>
        <vertAlign val="subscript"/>
        <sz val="10"/>
        <rFont val="Calibri"/>
        <family val="2"/>
      </rPr>
      <t xml:space="preserve">N </t>
    </r>
    <r>
      <rPr>
        <sz val="10"/>
        <rFont val="Calibri"/>
        <family val="2"/>
      </rPr>
      <t>=</t>
    </r>
  </si>
  <si>
    <r>
      <t>Alk</t>
    </r>
    <r>
      <rPr>
        <vertAlign val="subscript"/>
        <sz val="10"/>
        <rFont val="Calibri"/>
        <family val="2"/>
      </rPr>
      <t xml:space="preserve">DN </t>
    </r>
    <r>
      <rPr>
        <sz val="10"/>
        <rFont val="Calibri"/>
        <family val="2"/>
      </rPr>
      <t>=</t>
    </r>
  </si>
  <si>
    <r>
      <t>Alk</t>
    </r>
    <r>
      <rPr>
        <vertAlign val="subscript"/>
        <sz val="10"/>
        <rFont val="Calibri"/>
        <family val="2"/>
      </rPr>
      <t xml:space="preserve">added </t>
    </r>
    <r>
      <rPr>
        <sz val="10"/>
        <rFont val="Calibri"/>
        <family val="2"/>
      </rPr>
      <t>=</t>
    </r>
  </si>
  <si>
    <r>
      <t>C</t>
    </r>
    <r>
      <rPr>
        <vertAlign val="subscript"/>
        <sz val="10"/>
        <color indexed="8"/>
        <rFont val="Calibri"/>
        <family val="2"/>
      </rPr>
      <t>alk</t>
    </r>
    <r>
      <rPr>
        <sz val="10"/>
        <color indexed="8"/>
        <rFont val="Calibri"/>
        <family val="2"/>
      </rPr>
      <t xml:space="preserve"> =</t>
    </r>
  </si>
  <si>
    <r>
      <t>kg CaCO</t>
    </r>
    <r>
      <rPr>
        <vertAlign val="subscript"/>
        <sz val="10"/>
        <rFont val="Calibri"/>
        <family val="2"/>
      </rPr>
      <t>3</t>
    </r>
    <r>
      <rPr>
        <sz val="10"/>
        <color indexed="8"/>
        <rFont val="Calibri"/>
        <family val="2"/>
      </rPr>
      <t>/d</t>
    </r>
  </si>
  <si>
    <r>
      <t>C</t>
    </r>
    <r>
      <rPr>
        <vertAlign val="subscript"/>
        <sz val="10"/>
        <rFont val="Calibri"/>
        <family val="2"/>
      </rPr>
      <t xml:space="preserve">NaOH </t>
    </r>
    <r>
      <rPr>
        <sz val="10"/>
        <rFont val="Calibri"/>
        <family val="2"/>
      </rPr>
      <t>=</t>
    </r>
  </si>
  <si>
    <r>
      <t>Q</t>
    </r>
    <r>
      <rPr>
        <vertAlign val="subscript"/>
        <sz val="10"/>
        <rFont val="Calibri"/>
        <family val="2"/>
      </rPr>
      <t xml:space="preserve">NaOH,design </t>
    </r>
    <r>
      <rPr>
        <sz val="10"/>
        <rFont val="Calibri"/>
        <family val="2"/>
      </rPr>
      <t>=</t>
    </r>
  </si>
  <si>
    <r>
      <t>X</t>
    </r>
    <r>
      <rPr>
        <vertAlign val="subscript"/>
        <sz val="10"/>
        <rFont val="Calibri"/>
        <family val="2"/>
      </rPr>
      <t xml:space="preserve">VSS </t>
    </r>
    <r>
      <rPr>
        <sz val="10"/>
        <rFont val="Calibri"/>
        <family val="2"/>
      </rPr>
      <t>/ X</t>
    </r>
    <r>
      <rPr>
        <vertAlign val="subscript"/>
        <sz val="10"/>
        <rFont val="Calibri"/>
        <family val="2"/>
      </rPr>
      <t xml:space="preserve">TSS </t>
    </r>
    <r>
      <rPr>
        <sz val="10"/>
        <rFont val="Calibri"/>
        <family val="2"/>
      </rPr>
      <t>=</t>
    </r>
  </si>
  <si>
    <r>
      <t>X</t>
    </r>
    <r>
      <rPr>
        <vertAlign val="subscript"/>
        <sz val="10"/>
        <rFont val="Calibri"/>
        <family val="2"/>
      </rPr>
      <t xml:space="preserve">TSS </t>
    </r>
    <r>
      <rPr>
        <sz val="10"/>
        <rFont val="Calibri"/>
        <family val="2"/>
      </rPr>
      <t>=</t>
    </r>
  </si>
  <si>
    <r>
      <t>X</t>
    </r>
    <r>
      <rPr>
        <vertAlign val="subscript"/>
        <sz val="10"/>
        <rFont val="Calibri"/>
        <family val="2"/>
      </rPr>
      <t xml:space="preserve">TSS,outlet </t>
    </r>
    <r>
      <rPr>
        <sz val="10"/>
        <rFont val="Calibri"/>
        <family val="2"/>
      </rPr>
      <t>=</t>
    </r>
    <r>
      <rPr>
        <vertAlign val="subscript"/>
        <sz val="10"/>
        <rFont val="Calibri"/>
        <family val="2"/>
      </rPr>
      <t xml:space="preserve"> </t>
    </r>
  </si>
  <si>
    <r>
      <t>X</t>
    </r>
    <r>
      <rPr>
        <vertAlign val="subscript"/>
        <sz val="10"/>
        <rFont val="Calibri"/>
        <family val="2"/>
      </rPr>
      <t xml:space="preserve">RAS </t>
    </r>
    <r>
      <rPr>
        <sz val="10"/>
        <rFont val="Calibri"/>
        <family val="2"/>
      </rPr>
      <t>=</t>
    </r>
  </si>
  <si>
    <r>
      <t>Q</t>
    </r>
    <r>
      <rPr>
        <vertAlign val="subscript"/>
        <sz val="10"/>
        <color indexed="8"/>
        <rFont val="Calibri"/>
        <family val="2"/>
      </rPr>
      <t>RAS</t>
    </r>
    <r>
      <rPr>
        <sz val="10"/>
        <color indexed="8"/>
        <rFont val="Calibri"/>
        <family val="2"/>
      </rPr>
      <t xml:space="preserve"> =</t>
    </r>
  </si>
  <si>
    <r>
      <t>Q</t>
    </r>
    <r>
      <rPr>
        <vertAlign val="subscript"/>
        <sz val="10"/>
        <color indexed="8"/>
        <rFont val="Calibri"/>
        <family val="2"/>
      </rPr>
      <t>D</t>
    </r>
    <r>
      <rPr>
        <sz val="10"/>
        <color indexed="8"/>
        <rFont val="Calibri"/>
        <family val="2"/>
      </rPr>
      <t xml:space="preserve"> =</t>
    </r>
  </si>
  <si>
    <r>
      <t>H</t>
    </r>
    <r>
      <rPr>
        <vertAlign val="subscript"/>
        <sz val="10"/>
        <color indexed="8"/>
        <rFont val="Calibri"/>
        <family val="2"/>
      </rPr>
      <t>cone</t>
    </r>
    <r>
      <rPr>
        <sz val="10"/>
        <color theme="1"/>
        <rFont val="Calibri"/>
        <family val="2"/>
        <scheme val="minor"/>
      </rPr>
      <t xml:space="preserve"> =</t>
    </r>
  </si>
  <si>
    <t xml:space="preserve">Engenharia de Processo </t>
  </si>
  <si>
    <t>1.1) Parâmetros do afluente</t>
  </si>
  <si>
    <t>Alk =</t>
  </si>
  <si>
    <r>
      <t>m</t>
    </r>
    <r>
      <rPr>
        <vertAlign val="subscript"/>
        <sz val="8"/>
        <rFont val="Arial"/>
        <family val="2"/>
      </rPr>
      <t>max</t>
    </r>
  </si>
  <si>
    <r>
      <t>K</t>
    </r>
    <r>
      <rPr>
        <vertAlign val="subscript"/>
        <sz val="8"/>
        <rFont val="Arial"/>
        <family val="2"/>
      </rPr>
      <t>s</t>
    </r>
  </si>
  <si>
    <r>
      <t>k</t>
    </r>
    <r>
      <rPr>
        <vertAlign val="subscript"/>
        <sz val="8"/>
        <rFont val="Arial"/>
        <family val="2"/>
      </rPr>
      <t>d</t>
    </r>
  </si>
  <si>
    <r>
      <t>f</t>
    </r>
    <r>
      <rPr>
        <vertAlign val="subscript"/>
        <sz val="8"/>
        <rFont val="Arial"/>
        <family val="2"/>
      </rPr>
      <t>d</t>
    </r>
  </si>
  <si>
    <r>
      <t>q</t>
    </r>
    <r>
      <rPr>
        <sz val="8"/>
        <color theme="1"/>
        <rFont val="Calibri"/>
        <family val="2"/>
        <scheme val="minor"/>
      </rPr>
      <t xml:space="preserve"> values</t>
    </r>
  </si>
  <si>
    <r>
      <t xml:space="preserve">    m</t>
    </r>
    <r>
      <rPr>
        <vertAlign val="subscript"/>
        <sz val="8"/>
        <rFont val="Arial"/>
        <family val="2"/>
      </rPr>
      <t>max</t>
    </r>
  </si>
  <si>
    <r>
      <t xml:space="preserve">   K</t>
    </r>
    <r>
      <rPr>
        <vertAlign val="subscript"/>
        <sz val="8"/>
        <rFont val="Arial"/>
        <family val="2"/>
      </rPr>
      <t>s</t>
    </r>
  </si>
  <si>
    <r>
      <t xml:space="preserve">   k</t>
    </r>
    <r>
      <rPr>
        <vertAlign val="subscript"/>
        <sz val="8"/>
        <rFont val="Arial"/>
        <family val="2"/>
      </rPr>
      <t>d</t>
    </r>
  </si>
  <si>
    <r>
      <t>m</t>
    </r>
    <r>
      <rPr>
        <vertAlign val="subscript"/>
        <sz val="8"/>
        <rFont val="Arial"/>
        <family val="2"/>
      </rPr>
      <t>n,max</t>
    </r>
  </si>
  <si>
    <r>
      <t>K</t>
    </r>
    <r>
      <rPr>
        <vertAlign val="subscript"/>
        <sz val="8"/>
        <rFont val="Arial"/>
        <family val="2"/>
      </rPr>
      <t>n</t>
    </r>
  </si>
  <si>
    <r>
      <t>g NH</t>
    </r>
    <r>
      <rPr>
        <vertAlign val="subscript"/>
        <sz val="8"/>
        <rFont val="Arial"/>
        <family val="2"/>
      </rPr>
      <t>4</t>
    </r>
    <r>
      <rPr>
        <sz val="8"/>
        <color theme="1"/>
        <rFont val="Calibri"/>
        <family val="2"/>
        <scheme val="minor"/>
      </rPr>
      <t>-N/m³</t>
    </r>
  </si>
  <si>
    <r>
      <t>k</t>
    </r>
    <r>
      <rPr>
        <vertAlign val="subscript"/>
        <sz val="8"/>
        <rFont val="Arial"/>
        <family val="2"/>
      </rPr>
      <t>dn</t>
    </r>
  </si>
  <si>
    <r>
      <t>Y</t>
    </r>
    <r>
      <rPr>
        <vertAlign val="subscript"/>
        <sz val="8"/>
        <rFont val="Arial"/>
        <family val="2"/>
      </rPr>
      <t>n</t>
    </r>
  </si>
  <si>
    <r>
      <t>g VSS/g NH</t>
    </r>
    <r>
      <rPr>
        <vertAlign val="subscript"/>
        <sz val="8"/>
        <rFont val="Arial"/>
        <family val="2"/>
      </rPr>
      <t>4</t>
    </r>
    <r>
      <rPr>
        <sz val="8"/>
        <color theme="1"/>
        <rFont val="Calibri"/>
        <family val="2"/>
        <scheme val="minor"/>
      </rPr>
      <t>-N</t>
    </r>
  </si>
  <si>
    <r>
      <t>K</t>
    </r>
    <r>
      <rPr>
        <vertAlign val="subscript"/>
        <sz val="8"/>
        <rFont val="Arial"/>
        <family val="2"/>
      </rPr>
      <t>0</t>
    </r>
  </si>
  <si>
    <r>
      <t xml:space="preserve">    m</t>
    </r>
    <r>
      <rPr>
        <vertAlign val="subscript"/>
        <sz val="8"/>
        <rFont val="Arial"/>
        <family val="2"/>
      </rPr>
      <t>n,max</t>
    </r>
  </si>
  <si>
    <r>
      <t xml:space="preserve">   K</t>
    </r>
    <r>
      <rPr>
        <vertAlign val="subscript"/>
        <sz val="8"/>
        <rFont val="Arial"/>
        <family val="2"/>
      </rPr>
      <t>n</t>
    </r>
  </si>
  <si>
    <r>
      <t xml:space="preserve">   k</t>
    </r>
    <r>
      <rPr>
        <vertAlign val="subscript"/>
        <sz val="8"/>
        <rFont val="Arial"/>
        <family val="2"/>
      </rPr>
      <t>dn</t>
    </r>
  </si>
  <si>
    <t xml:space="preserve">Dados adcionais </t>
  </si>
  <si>
    <t>1) Coeficientes Cinéticos</t>
  </si>
  <si>
    <t xml:space="preserve">2 - Taxa de Crescimento específico </t>
  </si>
  <si>
    <t>3 - Idade do Lodo</t>
  </si>
  <si>
    <r>
      <t>P</t>
    </r>
    <r>
      <rPr>
        <b/>
        <vertAlign val="subscript"/>
        <sz val="10"/>
        <rFont val="Arial"/>
        <family val="2"/>
      </rPr>
      <t xml:space="preserve">TSS </t>
    </r>
    <r>
      <rPr>
        <b/>
        <sz val="10"/>
        <rFont val="Calibri"/>
        <family val="2"/>
      </rPr>
      <t>=</t>
    </r>
  </si>
  <si>
    <r>
      <t>5 - Nitrogênio oxidado a NO</t>
    </r>
    <r>
      <rPr>
        <b/>
        <vertAlign val="subscript"/>
        <sz val="10"/>
        <color indexed="8"/>
        <rFont val="Calibri"/>
        <family val="2"/>
      </rPr>
      <t>x</t>
    </r>
    <r>
      <rPr>
        <b/>
        <sz val="10"/>
        <color indexed="8"/>
        <rFont val="Calibri"/>
        <family val="2"/>
      </rPr>
      <t xml:space="preserve"> :</t>
    </r>
  </si>
  <si>
    <t>4 - Produção de biomassa:</t>
  </si>
  <si>
    <t>OBS 01: Supor que todo TKN é oxidado a Nitrato</t>
  </si>
  <si>
    <t>OBS 02: Assimilação de 12% do nitrogênio pela biomassa.</t>
  </si>
  <si>
    <t>6 - Tanque de Nitrificação</t>
  </si>
  <si>
    <t>Nº Tanque =</t>
  </si>
  <si>
    <t>7 - Carga aplicada:</t>
  </si>
  <si>
    <t>Safety f =</t>
  </si>
  <si>
    <t>NITRIFICAÇÃO</t>
  </si>
  <si>
    <t>IR =</t>
  </si>
  <si>
    <t>Típico: 3 ~ 4</t>
  </si>
  <si>
    <r>
      <t>Flowrate DN</t>
    </r>
    <r>
      <rPr>
        <sz val="10"/>
        <color theme="1"/>
        <rFont val="Calibri"/>
        <family val="2"/>
        <scheme val="minor"/>
      </rPr>
      <t xml:space="preserve"> =</t>
    </r>
  </si>
  <si>
    <t>m³/dia</t>
  </si>
  <si>
    <t>11 - Volume Anóxico (DN)</t>
  </si>
  <si>
    <t>dia</t>
  </si>
  <si>
    <t xml:space="preserve">F/Mb = </t>
  </si>
  <si>
    <t>g/g d</t>
  </si>
  <si>
    <t>8 - Biomassa ativa (Xb)</t>
  </si>
  <si>
    <r>
      <t>X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=</t>
    </r>
  </si>
  <si>
    <t>9 - Recirculação interna:</t>
  </si>
  <si>
    <t>10 - Alimentação de NO3 para Anóxico</t>
  </si>
  <si>
    <t>rbCOD =</t>
  </si>
  <si>
    <t>rbCOD ratio =</t>
  </si>
  <si>
    <t xml:space="preserve">13 - SDNR </t>
  </si>
  <si>
    <t>PARÂMETROS DE PROJETO</t>
  </si>
  <si>
    <r>
      <t>SDNR</t>
    </r>
    <r>
      <rPr>
        <vertAlign val="subscript"/>
        <sz val="10"/>
        <color theme="1"/>
        <rFont val="Calibri"/>
        <family val="2"/>
        <scheme val="minor"/>
      </rPr>
      <t>adj</t>
    </r>
    <r>
      <rPr>
        <sz val="10"/>
        <color theme="1"/>
        <rFont val="Calibri"/>
        <family val="2"/>
        <scheme val="minor"/>
      </rPr>
      <t xml:space="preserve"> = </t>
    </r>
  </si>
  <si>
    <t>14 - Check NOx</t>
  </si>
  <si>
    <t>kg/d</t>
  </si>
  <si>
    <r>
      <t>NO</t>
    </r>
    <r>
      <rPr>
        <vertAlign val="subscript"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removido</t>
    </r>
    <r>
      <rPr>
        <sz val="10"/>
        <color theme="1"/>
        <rFont val="Calibri"/>
        <family val="2"/>
        <scheme val="minor"/>
      </rPr>
      <t xml:space="preserve"> = </t>
    </r>
  </si>
  <si>
    <r>
      <t>NO</t>
    </r>
    <r>
      <rPr>
        <vertAlign val="subscript"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a remover</t>
    </r>
    <r>
      <rPr>
        <sz val="10"/>
        <color theme="1"/>
        <rFont val="Calibri"/>
        <family val="2"/>
        <scheme val="minor"/>
      </rPr>
      <t xml:space="preserve"> = </t>
    </r>
  </si>
  <si>
    <t>Check =</t>
  </si>
  <si>
    <t>g N/g Xb d</t>
  </si>
  <si>
    <t>15 - Demanda de alcalinidade:</t>
  </si>
  <si>
    <t>16 - Demanda de oxigenação:</t>
  </si>
  <si>
    <t>N m³ ar/h</t>
  </si>
  <si>
    <r>
      <t>R</t>
    </r>
    <r>
      <rPr>
        <vertAlign val="subscript"/>
        <sz val="10"/>
        <color indexed="8"/>
        <rFont val="Calibri"/>
        <family val="2"/>
      </rPr>
      <t>02 w/ DN</t>
    </r>
    <r>
      <rPr>
        <sz val="10"/>
        <color theme="1"/>
        <rFont val="Calibri"/>
        <family val="2"/>
        <scheme val="minor"/>
      </rPr>
      <t xml:space="preserve"> =</t>
    </r>
  </si>
  <si>
    <r>
      <t>R</t>
    </r>
    <r>
      <rPr>
        <vertAlign val="subscript"/>
        <sz val="10"/>
        <color indexed="8"/>
        <rFont val="Calibri"/>
        <family val="2"/>
      </rPr>
      <t>02 credit</t>
    </r>
    <r>
      <rPr>
        <sz val="10"/>
        <color theme="1"/>
        <rFont val="Calibri"/>
        <family val="2"/>
        <scheme val="minor"/>
      </rPr>
      <t xml:space="preserve"> =</t>
    </r>
  </si>
  <si>
    <r>
      <t>R</t>
    </r>
    <r>
      <rPr>
        <vertAlign val="subscript"/>
        <sz val="10"/>
        <color indexed="8"/>
        <rFont val="Calibri"/>
        <family val="2"/>
      </rPr>
      <t xml:space="preserve">02 </t>
    </r>
    <r>
      <rPr>
        <sz val="10"/>
        <color theme="1"/>
        <rFont val="Calibri"/>
        <family val="2"/>
        <scheme val="minor"/>
      </rPr>
      <t>=</t>
    </r>
  </si>
  <si>
    <t>1.3) Parâmetros de Operação</t>
  </si>
  <si>
    <t>Nº Decanter.=</t>
  </si>
  <si>
    <t>Diâmetro =</t>
  </si>
  <si>
    <t>Dimensionamento:</t>
  </si>
  <si>
    <r>
      <t>12 - F/M</t>
    </r>
    <r>
      <rPr>
        <b/>
        <vertAlign val="subscript"/>
        <sz val="10"/>
        <rFont val="Calibri"/>
        <family val="2"/>
      </rPr>
      <t>b</t>
    </r>
  </si>
  <si>
    <r>
      <t>Q</t>
    </r>
    <r>
      <rPr>
        <b/>
        <vertAlign val="subscript"/>
        <sz val="10"/>
        <rFont val="Calibri"/>
        <family val="2"/>
      </rPr>
      <t xml:space="preserve">ar,theoric </t>
    </r>
    <r>
      <rPr>
        <b/>
        <sz val="10"/>
        <rFont val="Calibri"/>
        <family val="2"/>
      </rPr>
      <t>=</t>
    </r>
  </si>
  <si>
    <r>
      <t>V</t>
    </r>
    <r>
      <rPr>
        <b/>
        <vertAlign val="subscript"/>
        <sz val="10"/>
        <color indexed="8"/>
        <rFont val="Calibri"/>
        <family val="2"/>
      </rPr>
      <t>decantador</t>
    </r>
    <r>
      <rPr>
        <b/>
        <sz val="10"/>
        <color theme="1"/>
        <rFont val="Calibri"/>
        <family val="2"/>
        <scheme val="minor"/>
      </rPr>
      <t xml:space="preserve"> =</t>
    </r>
  </si>
  <si>
    <r>
      <t>H</t>
    </r>
    <r>
      <rPr>
        <b/>
        <vertAlign val="subscript"/>
        <sz val="10"/>
        <color indexed="8"/>
        <rFont val="Calibri"/>
        <family val="2"/>
      </rPr>
      <t>lateral</t>
    </r>
    <r>
      <rPr>
        <b/>
        <sz val="10"/>
        <color theme="1"/>
        <rFont val="Calibri"/>
        <family val="2"/>
        <scheme val="minor"/>
      </rPr>
      <t xml:space="preserve"> =</t>
    </r>
  </si>
  <si>
    <r>
      <t>Q</t>
    </r>
    <r>
      <rPr>
        <b/>
        <vertAlign val="subscript"/>
        <sz val="10"/>
        <rFont val="Calibri"/>
        <family val="2"/>
      </rPr>
      <t xml:space="preserve">NaOH </t>
    </r>
    <r>
      <rPr>
        <b/>
        <sz val="10"/>
        <rFont val="Calibri"/>
        <family val="2"/>
      </rPr>
      <t>=</t>
    </r>
  </si>
  <si>
    <r>
      <t>V</t>
    </r>
    <r>
      <rPr>
        <b/>
        <vertAlign val="subscript"/>
        <sz val="10"/>
        <color indexed="8"/>
        <rFont val="Calibri"/>
        <family val="2"/>
      </rPr>
      <t>N</t>
    </r>
    <r>
      <rPr>
        <b/>
        <sz val="10"/>
        <color theme="1"/>
        <rFont val="Calibri"/>
        <family val="2"/>
        <scheme val="minor"/>
      </rPr>
      <t>=</t>
    </r>
  </si>
  <si>
    <r>
      <t>SRT</t>
    </r>
    <r>
      <rPr>
        <b/>
        <vertAlign val="subscript"/>
        <sz val="10"/>
        <color indexed="8"/>
        <rFont val="Calibri"/>
        <family val="2"/>
      </rPr>
      <t>design</t>
    </r>
    <r>
      <rPr>
        <b/>
        <sz val="10"/>
        <color theme="1"/>
        <rFont val="Calibri"/>
        <family val="2"/>
        <scheme val="minor"/>
      </rPr>
      <t xml:space="preserve"> =</t>
    </r>
  </si>
  <si>
    <r>
      <t>V</t>
    </r>
    <r>
      <rPr>
        <b/>
        <vertAlign val="subscript"/>
        <sz val="10"/>
        <color indexed="8"/>
        <rFont val="Calibri"/>
        <family val="2"/>
      </rPr>
      <t>DN</t>
    </r>
    <r>
      <rPr>
        <b/>
        <sz val="10"/>
        <color theme="1"/>
        <rFont val="Calibri"/>
        <family val="2"/>
        <scheme val="minor"/>
      </rPr>
      <t>=</t>
    </r>
  </si>
  <si>
    <r>
      <t>g O</t>
    </r>
    <r>
      <rPr>
        <b/>
        <vertAlign val="subscript"/>
        <sz val="10"/>
        <rFont val="Arial"/>
        <family val="2"/>
      </rPr>
      <t>2</t>
    </r>
    <r>
      <rPr>
        <b/>
        <sz val="10"/>
        <color indexed="8"/>
        <rFont val="Calibri"/>
        <family val="2"/>
      </rPr>
      <t>/m³</t>
    </r>
  </si>
  <si>
    <t xml:space="preserve">DENITRIFICAÇÃO (Pós Anóxico) </t>
  </si>
  <si>
    <t>DENITRIFICAÇÃO (Pré Anóxico)</t>
  </si>
  <si>
    <t>Denitrification Kinectic coef.</t>
  </si>
  <si>
    <t>g /m³</t>
  </si>
  <si>
    <t>k</t>
  </si>
  <si>
    <t>g bCOD/g VSS.d</t>
  </si>
  <si>
    <t>(*) Ref.: Metanol como doador de elétrons</t>
  </si>
  <si>
    <r>
      <t>SRT</t>
    </r>
    <r>
      <rPr>
        <vertAlign val="subscript"/>
        <sz val="10"/>
        <color theme="1"/>
        <rFont val="Calibri"/>
        <family val="2"/>
        <scheme val="minor"/>
      </rPr>
      <t>DN</t>
    </r>
    <r>
      <rPr>
        <sz val="10"/>
        <color theme="1"/>
        <rFont val="Calibri"/>
        <family val="2"/>
        <scheme val="minor"/>
      </rPr>
      <t xml:space="preserve"> =</t>
    </r>
  </si>
  <si>
    <r>
      <t>S</t>
    </r>
    <r>
      <rPr>
        <vertAlign val="subscript"/>
        <sz val="10"/>
        <rFont val="Calibri"/>
        <family val="2"/>
      </rPr>
      <t>ECS</t>
    </r>
    <r>
      <rPr>
        <sz val="10"/>
        <rFont val="Calibri"/>
        <family val="2"/>
      </rPr>
      <t xml:space="preserve"> =</t>
    </r>
  </si>
  <si>
    <r>
      <t>NO</t>
    </r>
    <r>
      <rPr>
        <vertAlign val="subscript"/>
        <sz val="10"/>
        <rFont val="Calibri"/>
        <family val="2"/>
      </rPr>
      <t>3</t>
    </r>
    <r>
      <rPr>
        <sz val="10"/>
        <rFont val="Calibri"/>
        <family val="2"/>
      </rPr>
      <t xml:space="preserve"> - red =</t>
    </r>
  </si>
  <si>
    <t>g/g</t>
  </si>
  <si>
    <r>
      <t>bCOD / NO</t>
    </r>
    <r>
      <rPr>
        <vertAlign val="subscript"/>
        <sz val="10"/>
        <rFont val="Calibri"/>
        <family val="2"/>
      </rPr>
      <t>3</t>
    </r>
    <r>
      <rPr>
        <sz val="10"/>
        <rFont val="Calibri"/>
        <family val="2"/>
      </rPr>
      <t xml:space="preserve"> =</t>
    </r>
  </si>
  <si>
    <t>g/m³ as COD</t>
  </si>
  <si>
    <t>ECS dose =</t>
  </si>
  <si>
    <t>Daily ECS dose =</t>
  </si>
  <si>
    <t>ECS COD =</t>
  </si>
  <si>
    <t>g COD/g ECS</t>
  </si>
  <si>
    <t xml:space="preserve">17- Volume Pós-Anóxico </t>
  </si>
  <si>
    <r>
      <t>P</t>
    </r>
    <r>
      <rPr>
        <vertAlign val="subscript"/>
        <sz val="10"/>
        <rFont val="Calibri"/>
        <family val="2"/>
      </rPr>
      <t>DN2,TSS</t>
    </r>
    <r>
      <rPr>
        <sz val="10"/>
        <rFont val="Calibri"/>
        <family val="2"/>
      </rPr>
      <t xml:space="preserve"> =</t>
    </r>
  </si>
  <si>
    <t>g/d</t>
  </si>
  <si>
    <r>
      <t>V</t>
    </r>
    <r>
      <rPr>
        <b/>
        <vertAlign val="subscript"/>
        <sz val="10"/>
        <rFont val="Calibri"/>
        <family val="2"/>
      </rPr>
      <t>DN2</t>
    </r>
    <r>
      <rPr>
        <b/>
        <sz val="10"/>
        <rFont val="Calibri"/>
        <family val="2"/>
      </rPr>
      <t xml:space="preserve"> =</t>
    </r>
  </si>
  <si>
    <t>SEDIMENTAÇÃO</t>
  </si>
  <si>
    <t xml:space="preserve">RE-AERAÇÃO </t>
  </si>
  <si>
    <t>19 - Decantador Secundário:</t>
  </si>
  <si>
    <t>18- Volume da Re-aeração</t>
  </si>
  <si>
    <t>min</t>
  </si>
  <si>
    <r>
      <t>V</t>
    </r>
    <r>
      <rPr>
        <b/>
        <vertAlign val="subscript"/>
        <sz val="10"/>
        <color theme="1"/>
        <rFont val="Calibri"/>
        <family val="2"/>
        <scheme val="minor"/>
      </rPr>
      <t>RA</t>
    </r>
    <r>
      <rPr>
        <b/>
        <sz val="10"/>
        <color theme="1"/>
        <rFont val="Calibri"/>
        <family val="2"/>
        <scheme val="minor"/>
      </rPr>
      <t xml:space="preserve"> =</t>
    </r>
  </si>
  <si>
    <r>
      <rPr>
        <b/>
        <sz val="10"/>
        <color indexed="8"/>
        <rFont val="Calibri"/>
        <family val="2"/>
      </rPr>
      <t xml:space="preserve">Memória de Cálculo: </t>
    </r>
    <r>
      <rPr>
        <sz val="10"/>
        <color indexed="8"/>
        <rFont val="Calibri"/>
        <family val="2"/>
      </rPr>
      <t xml:space="preserve"> Tratamento biológico / Remoção de nitrogênio / (DN-N-DN2-RA Tanks)</t>
    </r>
  </si>
  <si>
    <t>Cliente:</t>
  </si>
  <si>
    <t>Proposta:</t>
  </si>
  <si>
    <t xml:space="preserve">Summary </t>
  </si>
  <si>
    <t>DN-1</t>
  </si>
  <si>
    <t>N-1</t>
  </si>
  <si>
    <t>DN-2</t>
  </si>
  <si>
    <t xml:space="preserve">LAGUAZ ENGENHARIA AMBIETAL </t>
  </si>
  <si>
    <t>Customer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</si>
</sst>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"/>
    <numFmt numFmtId="165" formatCode="0.0"/>
    <numFmt numFmtId="166" formatCode="#,##0.0"/>
    <numFmt numFmtId="167" formatCode="_(* #,##0_);_(* \(#,##0\);_(* &quot;-&quot;??_);_(@_)"/>
  </numFmts>
  <fonts count="53" x14ac:knownFonts="1">
    <font>
      <sz val="11"/>
      <color theme="1"/>
      <name val="Calibri"/>
      <family val="2"/>
      <scheme val="minor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sz val="10"/>
      <color indexed="8"/>
      <name val="Calibri"/>
      <family val="2"/>
    </font>
    <font>
      <sz val="8"/>
      <color indexed="81"/>
      <name val="Tahoma"/>
      <family val="2"/>
    </font>
    <font>
      <vertAlign val="subscript"/>
      <sz val="10"/>
      <name val="Calibri"/>
      <family val="2"/>
    </font>
    <font>
      <sz val="10"/>
      <name val="Calibri"/>
      <family val="2"/>
    </font>
    <font>
      <b/>
      <sz val="8"/>
      <color indexed="81"/>
      <name val="Tahoma"/>
      <family val="2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48"/>
      <name val="Calibri"/>
      <family val="2"/>
    </font>
    <font>
      <vertAlign val="subscript"/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sz val="10"/>
      <color indexed="8"/>
      <name val="Symbol"/>
      <family val="1"/>
      <charset val="2"/>
    </font>
    <font>
      <b/>
      <vertAlign val="subscript"/>
      <sz val="10"/>
      <color indexed="8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name val="Symbol"/>
      <family val="1"/>
      <charset val="2"/>
    </font>
    <font>
      <vertAlign val="subscript"/>
      <sz val="8"/>
      <name val="Arial"/>
      <family val="2"/>
    </font>
    <font>
      <sz val="8"/>
      <name val="Arial"/>
      <family val="2"/>
    </font>
    <font>
      <sz val="8"/>
      <color indexed="48"/>
      <name val="Calibri"/>
      <family val="2"/>
    </font>
    <font>
      <sz val="8"/>
      <color indexed="48"/>
      <name val="Arial"/>
      <family val="2"/>
    </font>
    <font>
      <b/>
      <sz val="10"/>
      <color theme="1"/>
      <name val="Calibri"/>
      <family val="2"/>
      <scheme val="minor"/>
    </font>
    <font>
      <b/>
      <vertAlign val="subscript"/>
      <sz val="10"/>
      <name val="Arial"/>
      <family val="2"/>
    </font>
    <font>
      <b/>
      <sz val="10"/>
      <name val="Calibri"/>
      <family val="2"/>
    </font>
    <font>
      <i/>
      <sz val="8"/>
      <color indexed="8"/>
      <name val="Calibri"/>
      <family val="2"/>
    </font>
    <font>
      <i/>
      <sz val="8"/>
      <color theme="1"/>
      <name val="Calibri"/>
      <family val="2"/>
      <scheme val="minor"/>
    </font>
    <font>
      <i/>
      <sz val="8"/>
      <name val="Calibri"/>
      <family val="2"/>
    </font>
    <font>
      <sz val="8"/>
      <name val="Calibri"/>
      <family val="2"/>
      <scheme val="minor"/>
    </font>
    <font>
      <sz val="8"/>
      <color rgb="FFFF0000"/>
      <name val="Arial"/>
      <family val="2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070C0"/>
      <name val="Calibri"/>
      <family val="2"/>
    </font>
    <font>
      <vertAlign val="subscript"/>
      <sz val="10"/>
      <color theme="1"/>
      <name val="Calibri"/>
      <family val="2"/>
      <scheme val="minor"/>
    </font>
    <font>
      <sz val="7"/>
      <color indexed="8"/>
      <name val="Calibri"/>
      <family val="2"/>
    </font>
    <font>
      <b/>
      <sz val="10"/>
      <color rgb="FF0070C0"/>
      <name val="Calibri"/>
      <family val="2"/>
    </font>
    <font>
      <b/>
      <vertAlign val="subscript"/>
      <sz val="10"/>
      <name val="Calibri"/>
      <family val="2"/>
    </font>
    <font>
      <sz val="10"/>
      <color rgb="FF008000"/>
      <name val="Calibri"/>
      <family val="2"/>
      <scheme val="minor"/>
    </font>
    <font>
      <sz val="10"/>
      <color rgb="FF008000"/>
      <name val="Calibri"/>
      <family val="2"/>
    </font>
    <font>
      <b/>
      <sz val="10"/>
      <color indexed="10"/>
      <name val="Calibri"/>
      <family val="2"/>
    </font>
    <font>
      <b/>
      <sz val="10"/>
      <color rgb="FF0070C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0"/>
      <color indexed="48"/>
      <name val="Calibri"/>
      <family val="2"/>
    </font>
    <font>
      <b/>
      <vertAlign val="subscript"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000000"/>
      <name val="Tahoma"/>
      <family val="2"/>
    </font>
    <font>
      <vertAlign val="subscript"/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9" fillId="0" borderId="0" applyFont="0" applyFill="0" applyBorder="0" applyAlignment="0" applyProtection="0"/>
  </cellStyleXfs>
  <cellXfs count="153">
    <xf numFmtId="0" fontId="0" fillId="0" borderId="0" xfId="0"/>
    <xf numFmtId="2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4" fillId="0" borderId="0" xfId="0" applyFont="1"/>
    <xf numFmtId="49" fontId="10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right"/>
    </xf>
    <xf numFmtId="0" fontId="4" fillId="0" borderId="0" xfId="0" applyFont="1" applyFill="1" applyBorder="1" applyAlignment="1">
      <alignment horizontal="left"/>
    </xf>
    <xf numFmtId="1" fontId="12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/>
    <xf numFmtId="0" fontId="11" fillId="0" borderId="0" xfId="0" applyFont="1" applyFill="1" applyBorder="1" applyAlignment="1">
      <alignment horizontal="center"/>
    </xf>
    <xf numFmtId="0" fontId="9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12" fontId="11" fillId="0" borderId="1" xfId="0" applyNumberFormat="1" applyFont="1" applyBorder="1" applyAlignment="1">
      <alignment horizontal="right"/>
    </xf>
    <xf numFmtId="1" fontId="12" fillId="0" borderId="1" xfId="0" applyNumberFormat="1" applyFont="1" applyBorder="1" applyAlignment="1">
      <alignment horizontal="center"/>
    </xf>
    <xf numFmtId="0" fontId="25" fillId="0" borderId="0" xfId="0" applyFont="1"/>
    <xf numFmtId="165" fontId="9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0" borderId="1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left"/>
    </xf>
    <xf numFmtId="0" fontId="25" fillId="0" borderId="6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165" fontId="34" fillId="0" borderId="1" xfId="0" applyNumberFormat="1" applyFont="1" applyBorder="1" applyAlignment="1">
      <alignment horizontal="center"/>
    </xf>
    <xf numFmtId="165" fontId="36" fillId="0" borderId="1" xfId="0" applyNumberFormat="1" applyFont="1" applyBorder="1" applyAlignment="1">
      <alignment horizontal="center"/>
    </xf>
    <xf numFmtId="3" fontId="36" fillId="0" borderId="1" xfId="0" applyNumberFormat="1" applyFont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1" fontId="36" fillId="0" borderId="1" xfId="0" applyNumberFormat="1" applyFont="1" applyBorder="1" applyAlignment="1">
      <alignment horizontal="center"/>
    </xf>
    <xf numFmtId="2" fontId="36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9" fontId="36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4" xfId="0" applyFont="1" applyBorder="1" applyAlignment="1">
      <alignment horizontal="center"/>
    </xf>
    <xf numFmtId="2" fontId="34" fillId="0" borderId="1" xfId="0" applyNumberFormat="1" applyFont="1" applyBorder="1" applyAlignment="1">
      <alignment horizontal="center"/>
    </xf>
    <xf numFmtId="0" fontId="10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39" fillId="0" borderId="1" xfId="0" applyFont="1" applyBorder="1"/>
    <xf numFmtId="0" fontId="15" fillId="0" borderId="1" xfId="0" applyFont="1" applyBorder="1" applyAlignment="1">
      <alignment horizontal="right"/>
    </xf>
    <xf numFmtId="165" fontId="36" fillId="0" borderId="0" xfId="0" applyNumberFormat="1" applyFont="1" applyAlignment="1">
      <alignment horizont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2" fontId="22" fillId="0" borderId="1" xfId="0" applyNumberFormat="1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2" fillId="0" borderId="1" xfId="0" applyNumberFormat="1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1" fontId="37" fillId="0" borderId="1" xfId="0" applyNumberFormat="1" applyFont="1" applyBorder="1" applyAlignment="1">
      <alignment horizontal="center"/>
    </xf>
    <xf numFmtId="165" fontId="37" fillId="0" borderId="1" xfId="0" applyNumberFormat="1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3" fontId="40" fillId="0" borderId="6" xfId="0" applyNumberFormat="1" applyFont="1" applyBorder="1" applyAlignment="1">
      <alignment horizontal="center"/>
    </xf>
    <xf numFmtId="164" fontId="37" fillId="0" borderId="1" xfId="0" applyNumberFormat="1" applyFont="1" applyFill="1" applyBorder="1" applyAlignment="1">
      <alignment horizontal="center"/>
    </xf>
    <xf numFmtId="3" fontId="37" fillId="0" borderId="1" xfId="0" applyNumberFormat="1" applyFont="1" applyBorder="1" applyAlignment="1">
      <alignment horizontal="center"/>
    </xf>
    <xf numFmtId="1" fontId="37" fillId="0" borderId="1" xfId="0" applyNumberFormat="1" applyFont="1" applyFill="1" applyBorder="1" applyAlignment="1">
      <alignment horizontal="center"/>
    </xf>
    <xf numFmtId="165" fontId="37" fillId="0" borderId="1" xfId="0" applyNumberFormat="1" applyFont="1" applyFill="1" applyBorder="1" applyAlignment="1">
      <alignment horizontal="center"/>
    </xf>
    <xf numFmtId="2" fontId="37" fillId="0" borderId="1" xfId="0" applyNumberFormat="1" applyFont="1" applyBorder="1" applyAlignment="1">
      <alignment horizontal="center"/>
    </xf>
    <xf numFmtId="1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3" fontId="37" fillId="0" borderId="1" xfId="0" applyNumberFormat="1" applyFont="1" applyFill="1" applyBorder="1" applyAlignment="1">
      <alignment horizontal="center"/>
    </xf>
    <xf numFmtId="2" fontId="42" fillId="0" borderId="1" xfId="0" applyNumberFormat="1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2" fontId="43" fillId="0" borderId="1" xfId="0" applyNumberFormat="1" applyFont="1" applyBorder="1" applyAlignment="1">
      <alignment horizontal="center"/>
    </xf>
    <xf numFmtId="2" fontId="37" fillId="0" borderId="1" xfId="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right"/>
    </xf>
    <xf numFmtId="3" fontId="40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right"/>
    </xf>
    <xf numFmtId="1" fontId="40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1" fontId="44" fillId="0" borderId="1" xfId="0" applyNumberFormat="1" applyFont="1" applyFill="1" applyBorder="1" applyAlignment="1">
      <alignment horizontal="center"/>
    </xf>
    <xf numFmtId="0" fontId="44" fillId="0" borderId="1" xfId="0" applyFont="1" applyBorder="1" applyAlignment="1">
      <alignment horizontal="center"/>
    </xf>
    <xf numFmtId="1" fontId="40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10" fillId="0" borderId="1" xfId="0" applyFont="1" applyBorder="1"/>
    <xf numFmtId="165" fontId="40" fillId="0" borderId="1" xfId="0" applyNumberFormat="1" applyFont="1" applyBorder="1" applyAlignment="1">
      <alignment horizontal="center"/>
    </xf>
    <xf numFmtId="3" fontId="44" fillId="0" borderId="1" xfId="0" applyNumberFormat="1" applyFont="1" applyBorder="1" applyAlignment="1">
      <alignment horizontal="center"/>
    </xf>
    <xf numFmtId="1" fontId="45" fillId="0" borderId="1" xfId="0" applyNumberFormat="1" applyFont="1" applyBorder="1" applyAlignment="1">
      <alignment horizontal="center"/>
    </xf>
    <xf numFmtId="165" fontId="44" fillId="0" borderId="1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3" fontId="4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5" fontId="12" fillId="0" borderId="1" xfId="0" applyNumberFormat="1" applyFont="1" applyBorder="1" applyAlignment="1">
      <alignment horizontal="center"/>
    </xf>
    <xf numFmtId="0" fontId="46" fillId="0" borderId="0" xfId="0" applyFont="1"/>
    <xf numFmtId="1" fontId="47" fillId="0" borderId="1" xfId="0" applyNumberFormat="1" applyFont="1" applyBorder="1" applyAlignment="1">
      <alignment horizontal="center"/>
    </xf>
    <xf numFmtId="166" fontId="34" fillId="0" borderId="1" xfId="0" applyNumberFormat="1" applyFont="1" applyBorder="1" applyAlignment="1">
      <alignment horizontal="center"/>
    </xf>
    <xf numFmtId="1" fontId="34" fillId="0" borderId="1" xfId="0" applyNumberFormat="1" applyFont="1" applyBorder="1" applyAlignment="1">
      <alignment horizontal="center"/>
    </xf>
    <xf numFmtId="0" fontId="25" fillId="0" borderId="1" xfId="0" applyFont="1" applyBorder="1"/>
    <xf numFmtId="49" fontId="10" fillId="0" borderId="0" xfId="0" applyNumberFormat="1" applyFont="1" applyAlignment="1">
      <alignment horizontal="right"/>
    </xf>
    <xf numFmtId="1" fontId="9" fillId="0" borderId="1" xfId="0" applyNumberFormat="1" applyFont="1" applyBorder="1" applyAlignment="1">
      <alignment horizontal="center"/>
    </xf>
    <xf numFmtId="2" fontId="36" fillId="0" borderId="4" xfId="0" applyNumberFormat="1" applyFont="1" applyBorder="1" applyAlignment="1">
      <alignment horizontal="center"/>
    </xf>
    <xf numFmtId="167" fontId="11" fillId="0" borderId="0" xfId="1" applyNumberFormat="1" applyFont="1" applyAlignment="1">
      <alignment horizontal="center"/>
    </xf>
    <xf numFmtId="1" fontId="50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33" fillId="4" borderId="2" xfId="0" applyFont="1" applyFill="1" applyBorder="1" applyAlignment="1">
      <alignment horizontal="left"/>
    </xf>
    <xf numFmtId="0" fontId="33" fillId="4" borderId="3" xfId="0" applyFont="1" applyFill="1" applyBorder="1" applyAlignment="1">
      <alignment horizontal="left"/>
    </xf>
    <xf numFmtId="0" fontId="33" fillId="4" borderId="4" xfId="0" applyFont="1" applyFill="1" applyBorder="1" applyAlignment="1">
      <alignment horizontal="left"/>
    </xf>
    <xf numFmtId="0" fontId="33" fillId="4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27" fillId="5" borderId="2" xfId="0" applyFont="1" applyFill="1" applyBorder="1" applyAlignment="1">
      <alignment horizontal="left"/>
    </xf>
    <xf numFmtId="0" fontId="27" fillId="5" borderId="3" xfId="0" applyFont="1" applyFill="1" applyBorder="1" applyAlignment="1">
      <alignment horizontal="left"/>
    </xf>
    <xf numFmtId="0" fontId="27" fillId="5" borderId="4" xfId="0" applyFont="1" applyFill="1" applyBorder="1" applyAlignment="1">
      <alignment horizontal="left"/>
    </xf>
    <xf numFmtId="0" fontId="3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00B0F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700767</xdr:colOff>
      <xdr:row>4</xdr:row>
      <xdr:rowOff>0</xdr:rowOff>
    </xdr:from>
    <xdr:to>
      <xdr:col>8</xdr:col>
      <xdr:colOff>6804</xdr:colOff>
      <xdr:row>5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73928" y="741589"/>
          <a:ext cx="1857376" cy="3061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800" b="1"/>
            <a:t>Legenda</a:t>
          </a:r>
          <a:endParaRPr lang="pt-BR" sz="800"/>
        </a:p>
        <a:p>
          <a:r>
            <a:rPr lang="pt-BR" sz="800">
              <a:solidFill>
                <a:srgbClr val="FF0000"/>
              </a:solidFill>
            </a:rPr>
            <a:t>XX: Input   </a:t>
          </a:r>
          <a:r>
            <a:rPr lang="pt-BR" sz="800">
              <a:solidFill>
                <a:srgbClr val="0070C0"/>
              </a:solidFill>
            </a:rPr>
            <a:t>XX: Calculado  </a:t>
          </a:r>
          <a:r>
            <a:rPr lang="pt-BR" sz="800" baseline="0">
              <a:solidFill>
                <a:srgbClr val="008000"/>
              </a:solidFill>
            </a:rPr>
            <a:t>XX: Tabelado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57</xdr:row>
          <xdr:rowOff>25400</xdr:rowOff>
        </xdr:from>
        <xdr:to>
          <xdr:col>1</xdr:col>
          <xdr:colOff>812800</xdr:colOff>
          <xdr:row>57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Q117"/>
  <sheetViews>
    <sheetView tabSelected="1" topLeftCell="A79" zoomScale="220" zoomScaleNormal="220" workbookViewId="0">
      <selection activeCell="C83" sqref="C83"/>
    </sheetView>
  </sheetViews>
  <sheetFormatPr baseColWidth="10" defaultColWidth="9.1640625" defaultRowHeight="14" x14ac:dyDescent="0.2"/>
  <cols>
    <col min="1" max="1" width="2.6640625" style="3" customWidth="1"/>
    <col min="2" max="2" width="13.5" style="3" customWidth="1"/>
    <col min="3" max="4" width="12.6640625" style="3" customWidth="1"/>
    <col min="5" max="5" width="2.6640625" style="3" customWidth="1"/>
    <col min="6" max="8" width="12.6640625" style="3" customWidth="1"/>
    <col min="9" max="9" width="2.6640625" style="3" customWidth="1"/>
    <col min="10" max="13" width="9.1640625" style="3"/>
    <col min="14" max="14" width="10.5" style="3" customWidth="1"/>
    <col min="15" max="16384" width="9.1640625" style="3"/>
  </cols>
  <sheetData>
    <row r="1" spans="1:17" ht="16" x14ac:dyDescent="0.2">
      <c r="A1" s="15" t="s">
        <v>248</v>
      </c>
    </row>
    <row r="2" spans="1:17" ht="16" x14ac:dyDescent="0.2">
      <c r="A2" s="15" t="s">
        <v>137</v>
      </c>
      <c r="J2" s="28" t="s">
        <v>158</v>
      </c>
    </row>
    <row r="3" spans="1:17" ht="16" x14ac:dyDescent="0.25">
      <c r="J3" s="7" t="s">
        <v>159</v>
      </c>
      <c r="M3" s="11" t="s">
        <v>82</v>
      </c>
      <c r="N3" s="152">
        <f>G20</f>
        <v>25</v>
      </c>
      <c r="O3" s="12" t="s">
        <v>10</v>
      </c>
    </row>
    <row r="4" spans="1:17" x14ac:dyDescent="0.2">
      <c r="A4" s="5" t="s">
        <v>241</v>
      </c>
      <c r="D4" s="4"/>
      <c r="Q4" s="16"/>
    </row>
    <row r="5" spans="1:17" x14ac:dyDescent="0.2">
      <c r="M5" s="136" t="s">
        <v>21</v>
      </c>
      <c r="N5" s="137"/>
      <c r="O5" s="137"/>
      <c r="P5" s="138"/>
      <c r="Q5" s="16"/>
    </row>
    <row r="6" spans="1:17" x14ac:dyDescent="0.2">
      <c r="B6" s="6" t="s">
        <v>187</v>
      </c>
      <c r="M6" s="73" t="s">
        <v>17</v>
      </c>
      <c r="N6" s="74" t="s">
        <v>18</v>
      </c>
      <c r="O6" s="75" t="s">
        <v>19</v>
      </c>
      <c r="P6" s="74" t="s">
        <v>20</v>
      </c>
      <c r="Q6" s="16"/>
    </row>
    <row r="7" spans="1:17" x14ac:dyDescent="0.2">
      <c r="B7" s="127" t="s">
        <v>242</v>
      </c>
      <c r="C7" s="3" t="s">
        <v>249</v>
      </c>
      <c r="M7" s="76" t="s">
        <v>140</v>
      </c>
      <c r="N7" s="75" t="s">
        <v>12</v>
      </c>
      <c r="O7" s="77">
        <v>6</v>
      </c>
      <c r="P7" s="78">
        <f>O7*O13^($N$3-20)</f>
        <v>8.4153103842000014</v>
      </c>
      <c r="Q7" s="16"/>
    </row>
    <row r="8" spans="1:17" x14ac:dyDescent="0.2">
      <c r="B8" s="127" t="s">
        <v>243</v>
      </c>
      <c r="M8" s="74" t="s">
        <v>141</v>
      </c>
      <c r="N8" s="75" t="s">
        <v>16</v>
      </c>
      <c r="O8" s="77">
        <v>20</v>
      </c>
      <c r="P8" s="78">
        <f>O8*O14^($N$3-20)</f>
        <v>20</v>
      </c>
      <c r="Q8" s="16"/>
    </row>
    <row r="9" spans="1:17" x14ac:dyDescent="0.2">
      <c r="B9" s="6"/>
      <c r="M9" s="74" t="s">
        <v>142</v>
      </c>
      <c r="N9" s="75" t="s">
        <v>12</v>
      </c>
      <c r="O9" s="77">
        <v>0.12</v>
      </c>
      <c r="P9" s="78">
        <f>O9*O15^($N$3-20)</f>
        <v>0.14599834828800004</v>
      </c>
      <c r="Q9" s="16"/>
    </row>
    <row r="10" spans="1:17" x14ac:dyDescent="0.2">
      <c r="B10" s="6"/>
      <c r="M10" s="74" t="s">
        <v>13</v>
      </c>
      <c r="N10" s="75" t="s">
        <v>14</v>
      </c>
      <c r="O10" s="77">
        <v>0.4</v>
      </c>
      <c r="P10" s="17"/>
      <c r="Q10" s="16"/>
    </row>
    <row r="11" spans="1:17" x14ac:dyDescent="0.2">
      <c r="B11" s="140" t="s">
        <v>138</v>
      </c>
      <c r="C11" s="141"/>
      <c r="D11" s="142"/>
      <c r="F11" s="140" t="s">
        <v>11</v>
      </c>
      <c r="G11" s="141"/>
      <c r="H11" s="142"/>
      <c r="M11" s="74" t="s">
        <v>143</v>
      </c>
      <c r="N11" s="75" t="s">
        <v>15</v>
      </c>
      <c r="O11" s="77">
        <v>0.15</v>
      </c>
      <c r="P11" s="17"/>
      <c r="Q11" s="16"/>
    </row>
    <row r="12" spans="1:17" x14ac:dyDescent="0.2">
      <c r="B12" s="21" t="s">
        <v>0</v>
      </c>
      <c r="C12" s="22">
        <f>100*24</f>
        <v>2400</v>
      </c>
      <c r="D12" s="23" t="s">
        <v>6</v>
      </c>
      <c r="F12" s="21" t="s">
        <v>0</v>
      </c>
      <c r="G12" s="27">
        <f>C12-G91*24</f>
        <v>2175.9159652123781</v>
      </c>
      <c r="H12" s="23" t="s">
        <v>6</v>
      </c>
      <c r="M12" s="76" t="s">
        <v>144</v>
      </c>
      <c r="N12" s="41"/>
      <c r="O12" s="77"/>
      <c r="P12" s="17"/>
      <c r="Q12" s="16"/>
    </row>
    <row r="13" spans="1:17" ht="15" x14ac:dyDescent="0.2">
      <c r="A13" s="5"/>
      <c r="B13" s="21" t="s">
        <v>1</v>
      </c>
      <c r="C13" s="128">
        <v>2200</v>
      </c>
      <c r="D13" s="24" t="s">
        <v>78</v>
      </c>
      <c r="F13" s="21" t="s">
        <v>1</v>
      </c>
      <c r="G13" s="22">
        <v>50</v>
      </c>
      <c r="H13" s="24" t="s">
        <v>78</v>
      </c>
      <c r="M13" s="76" t="s">
        <v>145</v>
      </c>
      <c r="N13" s="75" t="s">
        <v>15</v>
      </c>
      <c r="O13" s="77">
        <v>1.07</v>
      </c>
      <c r="P13" s="17"/>
      <c r="Q13" s="16"/>
    </row>
    <row r="14" spans="1:17" ht="15" x14ac:dyDescent="0.2">
      <c r="A14" s="5"/>
      <c r="B14" s="21" t="s">
        <v>2</v>
      </c>
      <c r="C14" s="54">
        <f>C15*C13</f>
        <v>3300</v>
      </c>
      <c r="D14" s="24" t="s">
        <v>78</v>
      </c>
      <c r="F14" s="21" t="s">
        <v>2</v>
      </c>
      <c r="G14" s="25">
        <f>G15*G13</f>
        <v>100</v>
      </c>
      <c r="H14" s="24" t="s">
        <v>78</v>
      </c>
      <c r="M14" s="74" t="s">
        <v>146</v>
      </c>
      <c r="N14" s="75" t="s">
        <v>15</v>
      </c>
      <c r="O14" s="77">
        <v>1</v>
      </c>
      <c r="P14" s="16"/>
      <c r="Q14" s="16"/>
    </row>
    <row r="15" spans="1:17" x14ac:dyDescent="0.2">
      <c r="B15" s="26" t="s">
        <v>3</v>
      </c>
      <c r="C15" s="48">
        <v>1.5</v>
      </c>
      <c r="D15" s="23"/>
      <c r="F15" s="26" t="s">
        <v>3</v>
      </c>
      <c r="G15" s="101">
        <v>2</v>
      </c>
      <c r="H15" s="23"/>
      <c r="M15" s="74" t="s">
        <v>147</v>
      </c>
      <c r="N15" s="75" t="s">
        <v>15</v>
      </c>
      <c r="O15" s="77">
        <v>1.04</v>
      </c>
      <c r="P15" s="16"/>
      <c r="Q15" s="16"/>
    </row>
    <row r="16" spans="1:17" ht="17" x14ac:dyDescent="0.25">
      <c r="B16" s="21" t="s">
        <v>7</v>
      </c>
      <c r="C16" s="22">
        <v>450</v>
      </c>
      <c r="D16" s="24" t="s">
        <v>8</v>
      </c>
      <c r="F16" s="21" t="s">
        <v>80</v>
      </c>
      <c r="G16" s="22">
        <v>0.5</v>
      </c>
      <c r="H16" s="24" t="s">
        <v>8</v>
      </c>
      <c r="Q16" s="16"/>
    </row>
    <row r="17" spans="1:17" ht="17" x14ac:dyDescent="0.25">
      <c r="B17" s="21" t="s">
        <v>4</v>
      </c>
      <c r="C17" s="22">
        <v>50</v>
      </c>
      <c r="D17" s="24" t="s">
        <v>9</v>
      </c>
      <c r="F17" s="21" t="s">
        <v>81</v>
      </c>
      <c r="G17" s="48">
        <v>60</v>
      </c>
      <c r="H17" s="24" t="s">
        <v>8</v>
      </c>
      <c r="J17" s="3">
        <f>C18/C17</f>
        <v>0.8</v>
      </c>
      <c r="M17" s="139" t="s">
        <v>22</v>
      </c>
      <c r="N17" s="139"/>
      <c r="O17" s="139"/>
      <c r="P17" s="139"/>
      <c r="Q17" s="16"/>
    </row>
    <row r="18" spans="1:17" ht="17" x14ac:dyDescent="0.25">
      <c r="B18" s="21" t="s">
        <v>5</v>
      </c>
      <c r="C18" s="22">
        <v>40</v>
      </c>
      <c r="D18" s="24" t="s">
        <v>9</v>
      </c>
      <c r="F18" s="21" t="s">
        <v>81</v>
      </c>
      <c r="G18" s="48">
        <v>10</v>
      </c>
      <c r="H18" s="24" t="s">
        <v>8</v>
      </c>
      <c r="M18" s="73" t="s">
        <v>17</v>
      </c>
      <c r="N18" s="74" t="s">
        <v>18</v>
      </c>
      <c r="O18" s="75" t="s">
        <v>19</v>
      </c>
      <c r="P18" s="74" t="s">
        <v>20</v>
      </c>
      <c r="Q18" s="16"/>
    </row>
    <row r="19" spans="1:17" x14ac:dyDescent="0.2">
      <c r="B19" s="21" t="s">
        <v>37</v>
      </c>
      <c r="C19" s="25">
        <f>0.4*C18</f>
        <v>16</v>
      </c>
      <c r="D19" s="24" t="s">
        <v>9</v>
      </c>
      <c r="F19" s="140" t="s">
        <v>201</v>
      </c>
      <c r="G19" s="141"/>
      <c r="H19" s="142"/>
      <c r="M19" s="76" t="s">
        <v>148</v>
      </c>
      <c r="N19" s="75" t="s">
        <v>12</v>
      </c>
      <c r="O19" s="77">
        <v>0.75</v>
      </c>
      <c r="P19" s="79">
        <f>O19*O25^($N$3-20)</f>
        <v>1.0519137980250002</v>
      </c>
      <c r="Q19" s="16"/>
    </row>
    <row r="20" spans="1:17" x14ac:dyDescent="0.2">
      <c r="B20" s="21" t="s">
        <v>27</v>
      </c>
      <c r="C20" s="25">
        <f>C17-C18</f>
        <v>10</v>
      </c>
      <c r="D20" s="24" t="s">
        <v>9</v>
      </c>
      <c r="F20" s="21" t="s">
        <v>41</v>
      </c>
      <c r="G20" s="22">
        <v>25</v>
      </c>
      <c r="H20" s="24" t="s">
        <v>10</v>
      </c>
      <c r="M20" s="74" t="s">
        <v>149</v>
      </c>
      <c r="N20" s="75" t="s">
        <v>150</v>
      </c>
      <c r="O20" s="77">
        <v>0.74</v>
      </c>
      <c r="P20" s="79">
        <f>O20*O26^($N$3-20)</f>
        <v>0.9580177940443646</v>
      </c>
      <c r="Q20" s="16"/>
    </row>
    <row r="21" spans="1:17" ht="15" x14ac:dyDescent="0.2">
      <c r="B21" s="21" t="s">
        <v>139</v>
      </c>
      <c r="C21" s="22">
        <v>150</v>
      </c>
      <c r="D21" s="24" t="s">
        <v>79</v>
      </c>
      <c r="F21" s="21" t="s">
        <v>72</v>
      </c>
      <c r="G21" s="49">
        <v>0.8</v>
      </c>
      <c r="H21" s="20"/>
      <c r="M21" s="74" t="s">
        <v>151</v>
      </c>
      <c r="N21" s="75" t="s">
        <v>12</v>
      </c>
      <c r="O21" s="77">
        <v>0.08</v>
      </c>
      <c r="P21" s="79">
        <f>O21*O27^($N$3-20)</f>
        <v>9.7332232192000032E-2</v>
      </c>
      <c r="Q21" s="16"/>
    </row>
    <row r="22" spans="1:17" x14ac:dyDescent="0.2">
      <c r="C22" s="13"/>
      <c r="D22" s="2"/>
      <c r="E22" s="1"/>
      <c r="F22" s="13"/>
      <c r="M22" s="74" t="s">
        <v>152</v>
      </c>
      <c r="N22" s="75" t="s">
        <v>153</v>
      </c>
      <c r="O22" s="77">
        <v>0.12</v>
      </c>
      <c r="P22" s="17"/>
      <c r="Q22" s="16"/>
    </row>
    <row r="23" spans="1:17" x14ac:dyDescent="0.2">
      <c r="B23" s="28" t="s">
        <v>171</v>
      </c>
      <c r="C23" s="28"/>
      <c r="D23" s="28"/>
      <c r="E23" s="28"/>
      <c r="F23" s="28" t="s">
        <v>215</v>
      </c>
      <c r="M23" s="74" t="s">
        <v>154</v>
      </c>
      <c r="N23" s="75" t="s">
        <v>9</v>
      </c>
      <c r="O23" s="77">
        <v>0.5</v>
      </c>
      <c r="P23" s="17"/>
      <c r="Q23" s="16"/>
    </row>
    <row r="24" spans="1:17" x14ac:dyDescent="0.2">
      <c r="B24" s="45" t="s">
        <v>160</v>
      </c>
      <c r="C24" s="46"/>
      <c r="D24" s="47"/>
      <c r="F24" s="140" t="s">
        <v>180</v>
      </c>
      <c r="G24" s="141"/>
      <c r="H24" s="142"/>
      <c r="M24" s="76" t="s">
        <v>144</v>
      </c>
      <c r="N24" s="41"/>
      <c r="O24" s="77"/>
      <c r="P24" s="17"/>
      <c r="Q24" s="16"/>
    </row>
    <row r="25" spans="1:17" ht="16" x14ac:dyDescent="0.25">
      <c r="B25" s="105" t="s">
        <v>23</v>
      </c>
      <c r="C25" s="116">
        <v>2</v>
      </c>
      <c r="D25" s="104" t="s">
        <v>213</v>
      </c>
      <c r="F25" s="21" t="s">
        <v>181</v>
      </c>
      <c r="G25" s="52">
        <f>(C12*C30/C51)*(O10*(C14-C32))/(1+P9*C30)</f>
        <v>2482.3877855604032</v>
      </c>
      <c r="H25" s="23" t="s">
        <v>9</v>
      </c>
      <c r="M25" s="76" t="s">
        <v>155</v>
      </c>
      <c r="N25" s="75" t="s">
        <v>15</v>
      </c>
      <c r="O25" s="77">
        <v>1.07</v>
      </c>
      <c r="P25" s="17"/>
      <c r="Q25" s="16"/>
    </row>
    <row r="26" spans="1:17" ht="15" x14ac:dyDescent="0.2">
      <c r="B26" s="21" t="s">
        <v>83</v>
      </c>
      <c r="C26" s="88">
        <f>(P19*G16/(P20+G16))*(C25/(O23+C25))-P21</f>
        <v>0.19125513685707551</v>
      </c>
      <c r="D26" s="24" t="s">
        <v>12</v>
      </c>
      <c r="F26" s="140" t="s">
        <v>182</v>
      </c>
      <c r="G26" s="141"/>
      <c r="H26" s="142"/>
      <c r="M26" s="74" t="s">
        <v>156</v>
      </c>
      <c r="N26" s="75" t="s">
        <v>15</v>
      </c>
      <c r="O26" s="80">
        <v>1.0529999999999999</v>
      </c>
      <c r="P26" s="17"/>
      <c r="Q26" s="16"/>
    </row>
    <row r="27" spans="1:17" x14ac:dyDescent="0.2">
      <c r="B27" s="140" t="s">
        <v>161</v>
      </c>
      <c r="C27" s="141"/>
      <c r="D27" s="142"/>
      <c r="F27" s="21" t="s">
        <v>172</v>
      </c>
      <c r="G27" s="49">
        <f>(C41/G17)-1-G21</f>
        <v>3.5484829503037911</v>
      </c>
      <c r="H27" s="41" t="s">
        <v>173</v>
      </c>
      <c r="M27" s="74" t="s">
        <v>157</v>
      </c>
      <c r="N27" s="75" t="s">
        <v>15</v>
      </c>
      <c r="O27" s="77">
        <v>1.04</v>
      </c>
      <c r="P27" s="17"/>
      <c r="Q27" s="16"/>
    </row>
    <row r="28" spans="1:17" ht="16" x14ac:dyDescent="0.25">
      <c r="B28" s="21" t="s">
        <v>84</v>
      </c>
      <c r="C28" s="85">
        <f>1/C26</f>
        <v>5.2286177324863043</v>
      </c>
      <c r="D28" s="30" t="s">
        <v>24</v>
      </c>
      <c r="F28" s="140" t="s">
        <v>183</v>
      </c>
      <c r="G28" s="141"/>
      <c r="H28" s="142"/>
      <c r="M28" s="43"/>
      <c r="N28" s="18"/>
      <c r="O28" s="44"/>
      <c r="P28" s="19"/>
      <c r="Q28" s="16"/>
    </row>
    <row r="29" spans="1:17" x14ac:dyDescent="0.2">
      <c r="B29" s="21" t="s">
        <v>170</v>
      </c>
      <c r="C29" s="49">
        <f>C30/C28</f>
        <v>2.8688270528561328</v>
      </c>
      <c r="D29" s="20"/>
      <c r="F29" s="21" t="s">
        <v>174</v>
      </c>
      <c r="G29" s="50">
        <f>G27*C12+G21*C12</f>
        <v>10436.359080729098</v>
      </c>
      <c r="H29" s="24" t="s">
        <v>175</v>
      </c>
      <c r="M29" s="136" t="s">
        <v>216</v>
      </c>
      <c r="N29" s="137"/>
      <c r="O29" s="137"/>
      <c r="P29" s="138"/>
      <c r="Q29" s="16"/>
    </row>
    <row r="30" spans="1:17" ht="16" x14ac:dyDescent="0.25">
      <c r="B30" s="105" t="s">
        <v>211</v>
      </c>
      <c r="C30" s="131">
        <v>15</v>
      </c>
      <c r="D30" s="112" t="s">
        <v>24</v>
      </c>
      <c r="F30" s="21" t="s">
        <v>174</v>
      </c>
      <c r="G30" s="50">
        <f>G29/24</f>
        <v>434.84829503037912</v>
      </c>
      <c r="H30" s="24" t="s">
        <v>76</v>
      </c>
      <c r="M30" s="73" t="s">
        <v>17</v>
      </c>
      <c r="N30" s="74" t="s">
        <v>18</v>
      </c>
      <c r="O30" s="75" t="s">
        <v>19</v>
      </c>
      <c r="P30" s="74" t="s">
        <v>20</v>
      </c>
      <c r="Q30" s="16"/>
    </row>
    <row r="31" spans="1:17" x14ac:dyDescent="0.2">
      <c r="B31" s="31" t="s">
        <v>164</v>
      </c>
      <c r="C31" s="32"/>
      <c r="D31" s="32"/>
      <c r="F31" s="146" t="s">
        <v>176</v>
      </c>
      <c r="G31" s="147"/>
      <c r="H31" s="148"/>
      <c r="M31" s="76" t="s">
        <v>140</v>
      </c>
      <c r="N31" s="75" t="s">
        <v>12</v>
      </c>
      <c r="O31" s="77">
        <v>1.86</v>
      </c>
      <c r="P31" s="78">
        <f>O31*O37^($N$3-20)</f>
        <v>1.86</v>
      </c>
      <c r="Q31" s="16"/>
    </row>
    <row r="32" spans="1:17" x14ac:dyDescent="0.2">
      <c r="A32" s="7"/>
      <c r="B32" s="33" t="s">
        <v>26</v>
      </c>
      <c r="C32" s="85">
        <f>(P8*(1+P9*C30))/(C30*(P7-P9)-1)</f>
        <v>0.51852787821846913</v>
      </c>
      <c r="D32" s="23" t="s">
        <v>16</v>
      </c>
      <c r="F32" s="21" t="s">
        <v>96</v>
      </c>
      <c r="G32" s="58">
        <v>5</v>
      </c>
      <c r="H32" s="20" t="s">
        <v>30</v>
      </c>
      <c r="M32" s="74" t="s">
        <v>141</v>
      </c>
      <c r="N32" s="75" t="s">
        <v>217</v>
      </c>
      <c r="O32" s="77">
        <v>9.1</v>
      </c>
      <c r="P32" s="78">
        <f>O32*O38^($N$3-20)</f>
        <v>9.1</v>
      </c>
      <c r="Q32" s="16"/>
    </row>
    <row r="33" spans="2:17" ht="15" x14ac:dyDescent="0.2">
      <c r="B33" s="33" t="s">
        <v>85</v>
      </c>
      <c r="C33" s="84">
        <f>C12*O10*(C14-C32)/(1+P9*C30)/1000</f>
        <v>992.95511422416109</v>
      </c>
      <c r="D33" s="24" t="s">
        <v>25</v>
      </c>
      <c r="F33" s="21" t="s">
        <v>96</v>
      </c>
      <c r="G33" s="51">
        <f>G32/24</f>
        <v>0.20833333333333334</v>
      </c>
      <c r="H33" s="20" t="s">
        <v>177</v>
      </c>
      <c r="M33" s="74" t="s">
        <v>142</v>
      </c>
      <c r="N33" s="75" t="s">
        <v>12</v>
      </c>
      <c r="O33" s="77">
        <v>0.05</v>
      </c>
      <c r="P33" s="78">
        <f>O33*O39^($N$3-20)</f>
        <v>0.05</v>
      </c>
      <c r="Q33" s="16"/>
    </row>
    <row r="34" spans="2:17" ht="16" x14ac:dyDescent="0.25">
      <c r="B34" s="33" t="s">
        <v>86</v>
      </c>
      <c r="C34" s="84">
        <f>O11*P9*C12*O10*(C14-C32)*C30/(1+P9*C30)/1000</f>
        <v>326.1820648519124</v>
      </c>
      <c r="D34" s="24" t="s">
        <v>25</v>
      </c>
      <c r="F34" s="105" t="s">
        <v>212</v>
      </c>
      <c r="G34" s="106">
        <f>G33*G29</f>
        <v>2174.2414751518954</v>
      </c>
      <c r="H34" s="112" t="s">
        <v>28</v>
      </c>
      <c r="M34" s="74" t="s">
        <v>13</v>
      </c>
      <c r="N34" s="75" t="s">
        <v>14</v>
      </c>
      <c r="O34" s="77">
        <v>0.18</v>
      </c>
      <c r="P34" s="17"/>
      <c r="Q34" s="16"/>
    </row>
    <row r="35" spans="2:17" ht="16" x14ac:dyDescent="0.25">
      <c r="B35" s="33" t="s">
        <v>87</v>
      </c>
      <c r="C35" s="84">
        <f>C12*O22*C16/(1+P21*C30)/1000</f>
        <v>52.683280559376819</v>
      </c>
      <c r="D35" s="24" t="s">
        <v>25</v>
      </c>
      <c r="F35" s="149" t="s">
        <v>205</v>
      </c>
      <c r="G35" s="150"/>
      <c r="H35" s="151"/>
      <c r="M35" s="74" t="s">
        <v>218</v>
      </c>
      <c r="N35" s="75" t="s">
        <v>219</v>
      </c>
      <c r="O35" s="77">
        <v>10.3</v>
      </c>
      <c r="P35" s="17"/>
      <c r="Q35" s="16"/>
    </row>
    <row r="36" spans="2:17" ht="15" x14ac:dyDescent="0.2">
      <c r="B36" s="33" t="s">
        <v>88</v>
      </c>
      <c r="C36" s="84">
        <f>SUM(C33:C35)</f>
        <v>1371.8204596354503</v>
      </c>
      <c r="D36" s="24" t="s">
        <v>25</v>
      </c>
      <c r="F36" s="21" t="s">
        <v>178</v>
      </c>
      <c r="G36" s="53">
        <f>C12*C14/(G34*G25)</f>
        <v>1.4673975173763671</v>
      </c>
      <c r="H36" s="20" t="s">
        <v>179</v>
      </c>
      <c r="M36" s="76" t="s">
        <v>144</v>
      </c>
      <c r="N36" s="41"/>
      <c r="O36" s="77"/>
      <c r="P36" s="17"/>
      <c r="Q36" s="16"/>
    </row>
    <row r="37" spans="2:17" ht="15" x14ac:dyDescent="0.2">
      <c r="B37" s="33" t="s">
        <v>89</v>
      </c>
      <c r="C37" s="54">
        <f>C12*C19/1000</f>
        <v>38.4</v>
      </c>
      <c r="D37" s="24" t="s">
        <v>25</v>
      </c>
      <c r="F37" s="21" t="s">
        <v>184</v>
      </c>
      <c r="G37" s="54">
        <f>0.3*C14</f>
        <v>990</v>
      </c>
      <c r="H37" s="24" t="s">
        <v>78</v>
      </c>
      <c r="M37" s="76" t="s">
        <v>145</v>
      </c>
      <c r="N37" s="75" t="s">
        <v>15</v>
      </c>
      <c r="O37" s="77">
        <v>1</v>
      </c>
      <c r="P37" s="17"/>
    </row>
    <row r="38" spans="2:17" ht="16" thickBot="1" x14ac:dyDescent="0.25">
      <c r="B38" s="34" t="s">
        <v>90</v>
      </c>
      <c r="C38" s="86">
        <f>C12*C20/1000</f>
        <v>24</v>
      </c>
      <c r="D38" s="35" t="s">
        <v>25</v>
      </c>
      <c r="F38" s="21" t="s">
        <v>185</v>
      </c>
      <c r="G38" s="55">
        <f>G37/C14</f>
        <v>0.3</v>
      </c>
      <c r="H38" s="20"/>
      <c r="M38" s="74" t="s">
        <v>146</v>
      </c>
      <c r="N38" s="75" t="s">
        <v>15</v>
      </c>
      <c r="O38" s="77">
        <v>1</v>
      </c>
      <c r="P38" s="16"/>
    </row>
    <row r="39" spans="2:17" ht="15" x14ac:dyDescent="0.2">
      <c r="B39" s="36" t="s">
        <v>162</v>
      </c>
      <c r="C39" s="87">
        <f>SUM(C36:C38)+C90</f>
        <v>1511.1838639521125</v>
      </c>
      <c r="D39" s="37" t="s">
        <v>25</v>
      </c>
      <c r="F39" s="146" t="s">
        <v>186</v>
      </c>
      <c r="G39" s="147"/>
      <c r="H39" s="148"/>
      <c r="M39" s="74" t="s">
        <v>147</v>
      </c>
      <c r="N39" s="75" t="s">
        <v>15</v>
      </c>
      <c r="O39" s="77">
        <v>1</v>
      </c>
      <c r="P39" s="16"/>
    </row>
    <row r="40" spans="2:17" ht="16" x14ac:dyDescent="0.25">
      <c r="B40" s="31" t="s">
        <v>163</v>
      </c>
      <c r="C40" s="32"/>
      <c r="D40" s="32"/>
      <c r="F40" s="21" t="s">
        <v>188</v>
      </c>
      <c r="G40" s="96">
        <v>0.13</v>
      </c>
      <c r="H40" s="20" t="s">
        <v>194</v>
      </c>
      <c r="M40" s="122" t="s">
        <v>220</v>
      </c>
    </row>
    <row r="41" spans="2:17" ht="17" x14ac:dyDescent="0.25">
      <c r="B41" s="21" t="s">
        <v>91</v>
      </c>
      <c r="C41" s="84">
        <f>C16-G16-G17-(0.12*1000*C36/C12)</f>
        <v>320.90897701822746</v>
      </c>
      <c r="D41" s="24" t="s">
        <v>8</v>
      </c>
      <c r="F41" s="146" t="s">
        <v>189</v>
      </c>
      <c r="G41" s="147"/>
      <c r="H41" s="148"/>
    </row>
    <row r="42" spans="2:17" ht="16" x14ac:dyDescent="0.25">
      <c r="B42" s="38" t="s">
        <v>165</v>
      </c>
      <c r="F42" s="21" t="s">
        <v>191</v>
      </c>
      <c r="G42" s="52">
        <f>G34*G40*G25/1000</f>
        <v>701.65036250086678</v>
      </c>
      <c r="H42" s="20" t="s">
        <v>190</v>
      </c>
    </row>
    <row r="43" spans="2:17" ht="16" x14ac:dyDescent="0.25">
      <c r="B43" s="39" t="s">
        <v>166</v>
      </c>
      <c r="F43" s="21" t="s">
        <v>192</v>
      </c>
      <c r="G43" s="52">
        <f>(C41-G17)*C12/1000</f>
        <v>626.18154484374588</v>
      </c>
      <c r="H43" s="20" t="s">
        <v>190</v>
      </c>
    </row>
    <row r="44" spans="2:17" x14ac:dyDescent="0.2">
      <c r="F44" s="56" t="s">
        <v>193</v>
      </c>
      <c r="G44" s="129">
        <f>G42/G43</f>
        <v>1.1205222643154598</v>
      </c>
      <c r="H44" s="57" t="str">
        <f>IF(G44&gt;1,"OK","ALTERAR TDH")</f>
        <v>OK</v>
      </c>
    </row>
    <row r="45" spans="2:17" x14ac:dyDescent="0.2">
      <c r="B45" s="140" t="s">
        <v>167</v>
      </c>
      <c r="C45" s="141"/>
      <c r="D45" s="142"/>
      <c r="F45" s="59" t="s">
        <v>195</v>
      </c>
      <c r="G45" s="60"/>
      <c r="H45" s="61"/>
      <c r="I45" s="5"/>
    </row>
    <row r="46" spans="2:17" ht="16" x14ac:dyDescent="0.25">
      <c r="B46" s="21" t="s">
        <v>168</v>
      </c>
      <c r="C46" s="22">
        <v>1</v>
      </c>
      <c r="D46" s="20" t="s">
        <v>39</v>
      </c>
      <c r="F46" s="62" t="s">
        <v>120</v>
      </c>
      <c r="G46" s="90">
        <f>C21</f>
        <v>150</v>
      </c>
      <c r="H46" s="24" t="s">
        <v>121</v>
      </c>
    </row>
    <row r="47" spans="2:17" ht="16" x14ac:dyDescent="0.25">
      <c r="B47" s="33" t="s">
        <v>92</v>
      </c>
      <c r="C47" s="89">
        <f>C39*C30</f>
        <v>22667.757959281687</v>
      </c>
      <c r="D47" s="30" t="s">
        <v>29</v>
      </c>
      <c r="F47" s="62" t="s">
        <v>122</v>
      </c>
      <c r="G47" s="93">
        <v>80</v>
      </c>
      <c r="H47" s="24" t="s">
        <v>121</v>
      </c>
    </row>
    <row r="48" spans="2:17" ht="16" x14ac:dyDescent="0.25">
      <c r="B48" s="33" t="s">
        <v>93</v>
      </c>
      <c r="C48" s="89">
        <f>(C36+C37)*C30</f>
        <v>21153.306894531757</v>
      </c>
      <c r="D48" s="30" t="s">
        <v>29</v>
      </c>
      <c r="F48" s="62" t="s">
        <v>123</v>
      </c>
      <c r="G48" s="95">
        <f>7.14*C41</f>
        <v>2291.2900959101439</v>
      </c>
      <c r="H48" s="24" t="s">
        <v>121</v>
      </c>
    </row>
    <row r="49" spans="1:10" ht="16" x14ac:dyDescent="0.25">
      <c r="A49" s="7"/>
      <c r="B49" s="21" t="s">
        <v>94</v>
      </c>
      <c r="C49" s="89">
        <f>C47/(C46)/C51*1000</f>
        <v>3777.9596598802809</v>
      </c>
      <c r="D49" s="24" t="s">
        <v>9</v>
      </c>
      <c r="F49" s="62" t="s">
        <v>124</v>
      </c>
      <c r="G49" s="95">
        <f>3.57*(C41-G17)</f>
        <v>931.44504795507203</v>
      </c>
      <c r="H49" s="24" t="s">
        <v>121</v>
      </c>
    </row>
    <row r="50" spans="1:10" ht="16" x14ac:dyDescent="0.25">
      <c r="B50" s="21" t="s">
        <v>95</v>
      </c>
      <c r="C50" s="89">
        <f>C48/C46/C51*1000</f>
        <v>3525.5511490886265</v>
      </c>
      <c r="D50" s="24" t="s">
        <v>9</v>
      </c>
      <c r="F50" s="62" t="s">
        <v>125</v>
      </c>
      <c r="G50" s="95">
        <f>G47+G48-G46-G49</f>
        <v>1289.845047955072</v>
      </c>
      <c r="H50" s="24" t="s">
        <v>121</v>
      </c>
    </row>
    <row r="51" spans="1:10" ht="16" x14ac:dyDescent="0.25">
      <c r="B51" s="105" t="s">
        <v>210</v>
      </c>
      <c r="C51" s="114">
        <v>6000</v>
      </c>
      <c r="D51" s="112" t="s">
        <v>28</v>
      </c>
      <c r="F51" s="62" t="s">
        <v>126</v>
      </c>
      <c r="G51" s="95">
        <f>G50*C12/1000</f>
        <v>3095.6281150921727</v>
      </c>
      <c r="H51" s="24" t="s">
        <v>127</v>
      </c>
    </row>
    <row r="52" spans="1:10" ht="16" x14ac:dyDescent="0.25">
      <c r="B52" s="21" t="s">
        <v>96</v>
      </c>
      <c r="C52" s="84">
        <f>C51/C12*24</f>
        <v>60</v>
      </c>
      <c r="D52" s="20" t="s">
        <v>30</v>
      </c>
      <c r="F52" s="62" t="s">
        <v>128</v>
      </c>
      <c r="G52" s="95">
        <f>G51*84/50*(80/84)</f>
        <v>4953.0049841474756</v>
      </c>
      <c r="H52" s="24" t="s">
        <v>65</v>
      </c>
      <c r="J52" s="3">
        <f>C51/C30</f>
        <v>400</v>
      </c>
    </row>
    <row r="53" spans="1:10" x14ac:dyDescent="0.2">
      <c r="B53" s="21" t="s">
        <v>55</v>
      </c>
      <c r="C53" s="29">
        <v>6</v>
      </c>
      <c r="D53" s="30" t="s">
        <v>44</v>
      </c>
      <c r="F53" s="63" t="s">
        <v>66</v>
      </c>
      <c r="G53" s="94">
        <v>50</v>
      </c>
      <c r="H53" s="64" t="s">
        <v>61</v>
      </c>
    </row>
    <row r="54" spans="1:10" x14ac:dyDescent="0.2">
      <c r="B54" s="105" t="s">
        <v>57</v>
      </c>
      <c r="C54" s="106">
        <f>C51/C53</f>
        <v>1000</v>
      </c>
      <c r="D54" s="112" t="s">
        <v>54</v>
      </c>
      <c r="F54" s="63" t="s">
        <v>67</v>
      </c>
      <c r="G54" s="94">
        <v>1.51</v>
      </c>
      <c r="H54" s="65" t="s">
        <v>63</v>
      </c>
    </row>
    <row r="55" spans="1:10" ht="16" x14ac:dyDescent="0.25">
      <c r="B55" s="105" t="s">
        <v>56</v>
      </c>
      <c r="C55" s="113">
        <f>4*C56</f>
        <v>63.245553203367585</v>
      </c>
      <c r="D55" s="112" t="s">
        <v>44</v>
      </c>
      <c r="F55" s="102" t="s">
        <v>209</v>
      </c>
      <c r="G55" s="110">
        <f>(G52*1000/24)/((G53/100)*1.51*10^6)*1000</f>
        <v>273.3446459242536</v>
      </c>
      <c r="H55" s="111" t="s">
        <v>64</v>
      </c>
    </row>
    <row r="56" spans="1:10" ht="16" x14ac:dyDescent="0.25">
      <c r="B56" s="105" t="s">
        <v>58</v>
      </c>
      <c r="C56" s="113">
        <f>SQRT(C54/4)</f>
        <v>15.811388300841896</v>
      </c>
      <c r="D56" s="112" t="s">
        <v>44</v>
      </c>
      <c r="F56" s="63" t="s">
        <v>129</v>
      </c>
      <c r="G56" s="66">
        <v>400</v>
      </c>
      <c r="H56" s="65" t="s">
        <v>64</v>
      </c>
    </row>
    <row r="57" spans="1:10" x14ac:dyDescent="0.2">
      <c r="B57" s="40" t="s">
        <v>40</v>
      </c>
    </row>
    <row r="58" spans="1:10" x14ac:dyDescent="0.2">
      <c r="B58" s="39" t="s">
        <v>38</v>
      </c>
      <c r="F58" s="132" t="s">
        <v>196</v>
      </c>
      <c r="G58" s="132"/>
      <c r="H58" s="132"/>
    </row>
    <row r="59" spans="1:10" ht="15" x14ac:dyDescent="0.2">
      <c r="F59" s="21" t="s">
        <v>23</v>
      </c>
      <c r="G59" s="85">
        <f>C25</f>
        <v>2</v>
      </c>
      <c r="H59" s="24" t="s">
        <v>78</v>
      </c>
    </row>
    <row r="60" spans="1:10" ht="16" x14ac:dyDescent="0.25">
      <c r="B60" s="140" t="s">
        <v>169</v>
      </c>
      <c r="C60" s="141"/>
      <c r="D60" s="142"/>
      <c r="F60" s="21" t="s">
        <v>198</v>
      </c>
      <c r="G60" s="85">
        <f>(C12*(C14-C32)/1000-1.42*C36+4.33*C12*C41/1000)/24-G61</f>
        <v>298.81572297209345</v>
      </c>
      <c r="H60" s="24" t="s">
        <v>99</v>
      </c>
    </row>
    <row r="61" spans="1:10" ht="16" x14ac:dyDescent="0.25">
      <c r="B61" s="21" t="s">
        <v>31</v>
      </c>
      <c r="C61" s="53">
        <f>C12*C13/(C50*C51)</f>
        <v>0.24960636302992925</v>
      </c>
      <c r="D61" s="41" t="s">
        <v>33</v>
      </c>
      <c r="F61" s="21" t="s">
        <v>199</v>
      </c>
      <c r="G61" s="85">
        <f>2.86*(C41-G18)*C12/24000</f>
        <v>88.919967427213052</v>
      </c>
      <c r="H61" s="24" t="s">
        <v>99</v>
      </c>
    </row>
    <row r="62" spans="1:10" ht="16" x14ac:dyDescent="0.25">
      <c r="B62" s="21" t="s">
        <v>32</v>
      </c>
      <c r="C62" s="53">
        <f>(C12*C16)/(C50*C51)</f>
        <v>5.1055846983394618E-2</v>
      </c>
      <c r="D62" s="41" t="s">
        <v>34</v>
      </c>
      <c r="F62" s="21" t="s">
        <v>200</v>
      </c>
      <c r="G62" s="72">
        <f>G60-G61</f>
        <v>209.89575554488039</v>
      </c>
      <c r="H62" s="24" t="s">
        <v>99</v>
      </c>
    </row>
    <row r="63" spans="1:10" ht="16" x14ac:dyDescent="0.25">
      <c r="B63" s="21" t="s">
        <v>97</v>
      </c>
      <c r="C63" s="53">
        <f>C12*C13/1000/C51</f>
        <v>0.88</v>
      </c>
      <c r="D63" s="42" t="s">
        <v>35</v>
      </c>
      <c r="F63" s="63" t="s">
        <v>41</v>
      </c>
      <c r="G63" s="54">
        <f>N3</f>
        <v>25</v>
      </c>
      <c r="H63" s="24" t="s">
        <v>10</v>
      </c>
    </row>
    <row r="64" spans="1:10" ht="16" x14ac:dyDescent="0.25">
      <c r="B64" s="21" t="s">
        <v>98</v>
      </c>
      <c r="C64" s="53">
        <f>C12*C16/1000/C51</f>
        <v>0.18</v>
      </c>
      <c r="D64" s="42" t="s">
        <v>36</v>
      </c>
      <c r="F64" s="21" t="s">
        <v>100</v>
      </c>
      <c r="G64" s="67">
        <v>0.4</v>
      </c>
      <c r="H64" s="24" t="s">
        <v>44</v>
      </c>
    </row>
    <row r="65" spans="2:8" ht="16" x14ac:dyDescent="0.25">
      <c r="F65" s="63" t="s">
        <v>102</v>
      </c>
      <c r="G65" s="92">
        <f>C53-G64</f>
        <v>5.6</v>
      </c>
      <c r="H65" s="24" t="s">
        <v>103</v>
      </c>
    </row>
    <row r="66" spans="2:8" ht="16" x14ac:dyDescent="0.25">
      <c r="F66" s="63" t="s">
        <v>104</v>
      </c>
      <c r="G66" s="98">
        <v>8.77</v>
      </c>
      <c r="H66" s="24" t="s">
        <v>105</v>
      </c>
    </row>
    <row r="67" spans="2:8" ht="16" x14ac:dyDescent="0.25">
      <c r="F67" s="63" t="s">
        <v>106</v>
      </c>
      <c r="G67" s="98">
        <v>7.28</v>
      </c>
      <c r="H67" s="24" t="s">
        <v>105</v>
      </c>
    </row>
    <row r="68" spans="2:8" x14ac:dyDescent="0.2">
      <c r="B68" s="133" t="s">
        <v>46</v>
      </c>
      <c r="C68" s="134"/>
      <c r="D68" s="135"/>
      <c r="F68" s="69" t="s">
        <v>108</v>
      </c>
      <c r="G68" s="98">
        <v>0.65</v>
      </c>
      <c r="H68" s="23"/>
    </row>
    <row r="69" spans="2:8" x14ac:dyDescent="0.2">
      <c r="B69" s="63" t="s">
        <v>42</v>
      </c>
      <c r="C69" s="98">
        <v>762</v>
      </c>
      <c r="D69" s="24" t="s">
        <v>44</v>
      </c>
      <c r="F69" s="69" t="s">
        <v>110</v>
      </c>
      <c r="G69" s="99">
        <v>0.95</v>
      </c>
      <c r="H69" s="23"/>
    </row>
    <row r="70" spans="2:8" x14ac:dyDescent="0.2">
      <c r="B70" s="21" t="s">
        <v>47</v>
      </c>
      <c r="C70" s="97">
        <v>9.81</v>
      </c>
      <c r="D70" s="30" t="s">
        <v>52</v>
      </c>
      <c r="F70" s="63" t="s">
        <v>43</v>
      </c>
      <c r="G70" s="96">
        <v>0.9</v>
      </c>
      <c r="H70" s="23"/>
    </row>
    <row r="71" spans="2:8" ht="16" x14ac:dyDescent="0.25">
      <c r="B71" s="21" t="s">
        <v>48</v>
      </c>
      <c r="C71" s="97">
        <v>28.97</v>
      </c>
      <c r="D71" s="30" t="s">
        <v>53</v>
      </c>
      <c r="F71" s="63" t="s">
        <v>112</v>
      </c>
      <c r="G71" s="92">
        <f>C75*G67</f>
        <v>6.6709871127237372</v>
      </c>
      <c r="H71" s="24" t="s">
        <v>105</v>
      </c>
    </row>
    <row r="72" spans="2:8" ht="16" x14ac:dyDescent="0.25">
      <c r="B72" s="21" t="s">
        <v>101</v>
      </c>
      <c r="C72" s="25">
        <f>C69</f>
        <v>762</v>
      </c>
      <c r="D72" s="30" t="s">
        <v>44</v>
      </c>
      <c r="F72" s="63" t="s">
        <v>113</v>
      </c>
      <c r="G72" s="98">
        <v>18</v>
      </c>
      <c r="H72" s="20" t="s">
        <v>61</v>
      </c>
    </row>
    <row r="73" spans="2:8" ht="16" x14ac:dyDescent="0.25">
      <c r="B73" s="21" t="s">
        <v>49</v>
      </c>
      <c r="C73" s="97">
        <v>8314</v>
      </c>
      <c r="D73" s="70" t="s">
        <v>51</v>
      </c>
      <c r="F73" s="63" t="s">
        <v>114</v>
      </c>
      <c r="G73" s="92">
        <f>G71*0.5*((C78+G65)/C78+G72/21)</f>
        <v>8.1587552525871665</v>
      </c>
      <c r="H73" s="24" t="s">
        <v>105</v>
      </c>
    </row>
    <row r="74" spans="2:8" ht="16" x14ac:dyDescent="0.25">
      <c r="B74" s="21" t="s">
        <v>41</v>
      </c>
      <c r="C74" s="25">
        <f>273.15+G63</f>
        <v>298.14999999999998</v>
      </c>
      <c r="D74" s="30" t="s">
        <v>50</v>
      </c>
      <c r="F74" s="63" t="s">
        <v>115</v>
      </c>
      <c r="G74" s="85">
        <f>(G62*G66*(1.024^(20-G63)))/(G68*G70*(G69*G73-G59))</f>
        <v>485.97957364459114</v>
      </c>
      <c r="H74" s="24" t="s">
        <v>99</v>
      </c>
    </row>
    <row r="75" spans="2:8" ht="16" x14ac:dyDescent="0.25">
      <c r="B75" s="63" t="s">
        <v>107</v>
      </c>
      <c r="C75" s="68">
        <f>EXP(-(C70*C71*(C72)/(C73*C74)))</f>
        <v>0.91634438361589798</v>
      </c>
      <c r="D75" s="20"/>
      <c r="F75" s="69" t="s">
        <v>116</v>
      </c>
      <c r="G75" s="99">
        <v>0.1</v>
      </c>
      <c r="H75" s="23"/>
    </row>
    <row r="76" spans="2:8" ht="16" x14ac:dyDescent="0.25">
      <c r="B76" s="63" t="s">
        <v>109</v>
      </c>
      <c r="C76" s="98">
        <v>735</v>
      </c>
      <c r="D76" s="24" t="s">
        <v>45</v>
      </c>
      <c r="F76" s="69" t="s">
        <v>117</v>
      </c>
      <c r="G76" s="51">
        <f>(C76*133.322*C71)/(C73*C74)</f>
        <v>1.145230275133833</v>
      </c>
      <c r="H76" s="24" t="s">
        <v>62</v>
      </c>
    </row>
    <row r="77" spans="2:8" ht="16" x14ac:dyDescent="0.25">
      <c r="B77" s="71" t="s">
        <v>111</v>
      </c>
      <c r="C77" s="98">
        <v>9.7639999999999993</v>
      </c>
      <c r="D77" s="30" t="s">
        <v>60</v>
      </c>
      <c r="F77" s="63" t="s">
        <v>118</v>
      </c>
      <c r="G77" s="51">
        <f>0.2318*G76</f>
        <v>0.2654643777760225</v>
      </c>
      <c r="H77" s="24" t="s">
        <v>119</v>
      </c>
    </row>
    <row r="78" spans="2:8" ht="16" x14ac:dyDescent="0.25">
      <c r="B78" s="63" t="s">
        <v>109</v>
      </c>
      <c r="C78" s="68">
        <f>C75*101.325/C77</f>
        <v>9.5092784381279056</v>
      </c>
      <c r="D78" s="24" t="s">
        <v>59</v>
      </c>
      <c r="F78" s="102" t="s">
        <v>206</v>
      </c>
      <c r="G78" s="103">
        <f>G74/(G75*G77)</f>
        <v>18306.771617193084</v>
      </c>
      <c r="H78" s="104" t="s">
        <v>197</v>
      </c>
    </row>
    <row r="79" spans="2:8" x14ac:dyDescent="0.2">
      <c r="B79" s="11"/>
      <c r="C79" s="117"/>
      <c r="D79" s="9"/>
      <c r="F79" s="118"/>
      <c r="G79" s="119"/>
      <c r="H79" s="120"/>
    </row>
    <row r="80" spans="2:8" x14ac:dyDescent="0.2">
      <c r="B80" s="28" t="s">
        <v>214</v>
      </c>
      <c r="C80" s="117"/>
      <c r="D80" s="9"/>
      <c r="F80" s="28" t="s">
        <v>235</v>
      </c>
      <c r="G80" s="119"/>
      <c r="H80" s="120"/>
    </row>
    <row r="82" spans="2:8" x14ac:dyDescent="0.2">
      <c r="B82" s="132" t="s">
        <v>231</v>
      </c>
      <c r="C82" s="132"/>
      <c r="D82" s="132"/>
      <c r="F82" s="143" t="s">
        <v>237</v>
      </c>
      <c r="G82" s="144"/>
      <c r="H82" s="145"/>
    </row>
    <row r="83" spans="2:8" ht="16" x14ac:dyDescent="0.25">
      <c r="B83" s="21" t="s">
        <v>221</v>
      </c>
      <c r="C83" s="124">
        <v>5</v>
      </c>
      <c r="D83" s="24" t="s">
        <v>24</v>
      </c>
      <c r="F83" s="63" t="s">
        <v>202</v>
      </c>
      <c r="G83" s="101">
        <f>C46</f>
        <v>1</v>
      </c>
      <c r="H83" s="65" t="s">
        <v>39</v>
      </c>
    </row>
    <row r="84" spans="2:8" ht="16" x14ac:dyDescent="0.25">
      <c r="B84" s="63" t="s">
        <v>222</v>
      </c>
      <c r="C84" s="121">
        <f>O32*(1+O33*C83)/(C83*(O34*(O35-O33)-1))</f>
        <v>2.6923076923076925</v>
      </c>
      <c r="D84" s="24" t="s">
        <v>217</v>
      </c>
      <c r="F84" s="107" t="s">
        <v>203</v>
      </c>
      <c r="G84" s="108">
        <v>5</v>
      </c>
      <c r="H84" s="104" t="s">
        <v>44</v>
      </c>
    </row>
    <row r="85" spans="2:8" ht="16" x14ac:dyDescent="0.25">
      <c r="B85" s="63" t="s">
        <v>223</v>
      </c>
      <c r="C85" s="121">
        <f>G17-G18</f>
        <v>50</v>
      </c>
      <c r="D85" s="24" t="s">
        <v>217</v>
      </c>
      <c r="F85" s="62" t="s">
        <v>130</v>
      </c>
      <c r="G85" s="100">
        <f>C50/C49</f>
        <v>0.93318919906104747</v>
      </c>
      <c r="H85" s="24"/>
    </row>
    <row r="86" spans="2:8" ht="16" x14ac:dyDescent="0.25">
      <c r="B86" s="63" t="s">
        <v>225</v>
      </c>
      <c r="C86" s="68">
        <f>2.86/(1-1.42*(O34/(1+O33*C83)))</f>
        <v>3.5951327433628317</v>
      </c>
      <c r="D86" s="24" t="s">
        <v>224</v>
      </c>
      <c r="F86" s="62" t="s">
        <v>131</v>
      </c>
      <c r="G86" s="90">
        <f>C49</f>
        <v>3777.9596598802809</v>
      </c>
      <c r="H86" s="24" t="s">
        <v>68</v>
      </c>
    </row>
    <row r="87" spans="2:8" ht="16" x14ac:dyDescent="0.25">
      <c r="B87" s="63" t="s">
        <v>227</v>
      </c>
      <c r="C87" s="121">
        <f>C86*C85+C84</f>
        <v>182.44894486044927</v>
      </c>
      <c r="D87" s="24" t="s">
        <v>226</v>
      </c>
      <c r="F87" s="62" t="s">
        <v>132</v>
      </c>
      <c r="G87" s="82">
        <v>5</v>
      </c>
      <c r="H87" s="24" t="s">
        <v>68</v>
      </c>
    </row>
    <row r="88" spans="2:8" x14ac:dyDescent="0.2">
      <c r="B88" s="21" t="s">
        <v>229</v>
      </c>
      <c r="C88" s="81">
        <v>1.5</v>
      </c>
      <c r="D88" s="20" t="s">
        <v>230</v>
      </c>
      <c r="F88" s="62" t="s">
        <v>72</v>
      </c>
      <c r="G88" s="83">
        <v>1.5</v>
      </c>
      <c r="H88" s="24"/>
    </row>
    <row r="89" spans="2:8" ht="16" x14ac:dyDescent="0.25">
      <c r="B89" s="63" t="s">
        <v>228</v>
      </c>
      <c r="C89" s="27">
        <f>C87/C88*C12/1000</f>
        <v>291.91831177671884</v>
      </c>
      <c r="D89" s="24" t="s">
        <v>190</v>
      </c>
      <c r="F89" s="62" t="s">
        <v>133</v>
      </c>
      <c r="G89" s="90">
        <f>(G86-G87)/G88+G86</f>
        <v>6293.2660998004685</v>
      </c>
      <c r="H89" s="24" t="s">
        <v>68</v>
      </c>
    </row>
    <row r="90" spans="2:8" ht="16" x14ac:dyDescent="0.25">
      <c r="B90" s="63" t="s">
        <v>232</v>
      </c>
      <c r="C90" s="123">
        <f>(C12*O34*(C87)/((1+O33*C83)*0.85)+O11*O33*C12*O34*(C87)*C83/((1+O33*C83)*0.85))/1000</f>
        <v>76.963404316661993</v>
      </c>
      <c r="D90" s="24" t="s">
        <v>233</v>
      </c>
      <c r="F90" s="62" t="s">
        <v>134</v>
      </c>
      <c r="G90" s="90">
        <f>C12*G88/24</f>
        <v>150</v>
      </c>
      <c r="H90" s="24" t="s">
        <v>76</v>
      </c>
    </row>
    <row r="91" spans="2:8" ht="16" x14ac:dyDescent="0.25">
      <c r="B91" s="102" t="s">
        <v>234</v>
      </c>
      <c r="C91" s="106">
        <f>C39*1000*C83/C49</f>
        <v>2000</v>
      </c>
      <c r="D91" s="104" t="s">
        <v>28</v>
      </c>
      <c r="F91" s="62" t="s">
        <v>135</v>
      </c>
      <c r="G91" s="91">
        <f>C51*C50/(C30*G89)/24</f>
        <v>9.3368347828175846</v>
      </c>
      <c r="H91" s="24" t="s">
        <v>76</v>
      </c>
    </row>
    <row r="92" spans="2:8" x14ac:dyDescent="0.2">
      <c r="F92" s="62" t="s">
        <v>73</v>
      </c>
      <c r="G92" s="91">
        <f>C12/G83/((PI()*G84^2)/4)</f>
        <v>122.23099629457562</v>
      </c>
      <c r="H92" s="24" t="s">
        <v>69</v>
      </c>
    </row>
    <row r="93" spans="2:8" x14ac:dyDescent="0.2">
      <c r="B93" s="28" t="s">
        <v>236</v>
      </c>
      <c r="F93" s="62" t="s">
        <v>74</v>
      </c>
      <c r="G93" s="91">
        <f>G89*G92/1000</f>
        <v>769.23218532548935</v>
      </c>
      <c r="H93" s="24" t="s">
        <v>70</v>
      </c>
    </row>
    <row r="94" spans="2:8" x14ac:dyDescent="0.2">
      <c r="F94" s="62" t="s">
        <v>74</v>
      </c>
      <c r="G94" s="91">
        <f>G93/24</f>
        <v>32.051341055228725</v>
      </c>
      <c r="H94" s="24" t="s">
        <v>71</v>
      </c>
    </row>
    <row r="95" spans="2:8" x14ac:dyDescent="0.2">
      <c r="B95" s="132" t="s">
        <v>238</v>
      </c>
      <c r="C95" s="132"/>
      <c r="D95" s="132"/>
      <c r="F95" s="133" t="s">
        <v>204</v>
      </c>
      <c r="G95" s="134"/>
      <c r="H95" s="135"/>
    </row>
    <row r="96" spans="2:8" ht="16" x14ac:dyDescent="0.25">
      <c r="B96" s="21" t="s">
        <v>96</v>
      </c>
      <c r="C96" s="125">
        <v>30</v>
      </c>
      <c r="D96" s="20" t="s">
        <v>239</v>
      </c>
      <c r="F96" s="105" t="s">
        <v>208</v>
      </c>
      <c r="G96" s="109">
        <v>3.5</v>
      </c>
      <c r="H96" s="104" t="s">
        <v>44</v>
      </c>
    </row>
    <row r="97" spans="2:8" ht="16" x14ac:dyDescent="0.25">
      <c r="B97" s="105" t="s">
        <v>240</v>
      </c>
      <c r="C97" s="115">
        <f>(C12+G21*C12+G27*C12)*(C96/60/24)</f>
        <v>267.42414751518953</v>
      </c>
      <c r="D97" s="126" t="s">
        <v>28</v>
      </c>
      <c r="F97" s="21" t="s">
        <v>77</v>
      </c>
      <c r="G97" s="22">
        <v>10</v>
      </c>
      <c r="H97" s="24" t="s">
        <v>61</v>
      </c>
    </row>
    <row r="98" spans="2:8" ht="16" x14ac:dyDescent="0.25">
      <c r="F98" s="21" t="s">
        <v>136</v>
      </c>
      <c r="G98" s="54">
        <f>G84/2*(G97/100)</f>
        <v>0.25</v>
      </c>
      <c r="H98" s="24" t="s">
        <v>44</v>
      </c>
    </row>
    <row r="99" spans="2:8" ht="16" x14ac:dyDescent="0.25">
      <c r="E99" s="5"/>
      <c r="F99" s="105" t="s">
        <v>207</v>
      </c>
      <c r="G99" s="106">
        <f>(PI()*G84^2/4)*(G96+G98/3)</f>
        <v>70.358585471021414</v>
      </c>
      <c r="H99" s="104" t="s">
        <v>75</v>
      </c>
    </row>
    <row r="101" spans="2:8" x14ac:dyDescent="0.2">
      <c r="B101" s="3" t="s">
        <v>244</v>
      </c>
    </row>
    <row r="103" spans="2:8" x14ac:dyDescent="0.2">
      <c r="B103" s="3" t="s">
        <v>245</v>
      </c>
      <c r="C103" s="130">
        <f>G34</f>
        <v>2174.2414751518954</v>
      </c>
      <c r="D103" s="3" t="s">
        <v>28</v>
      </c>
    </row>
    <row r="104" spans="2:8" x14ac:dyDescent="0.2">
      <c r="B104" s="3" t="s">
        <v>246</v>
      </c>
      <c r="C104" s="130">
        <f>C51</f>
        <v>6000</v>
      </c>
      <c r="D104" s="3" t="s">
        <v>28</v>
      </c>
    </row>
    <row r="105" spans="2:8" x14ac:dyDescent="0.2">
      <c r="B105" s="3" t="s">
        <v>247</v>
      </c>
      <c r="C105" s="130">
        <f>C91</f>
        <v>2000</v>
      </c>
      <c r="D105" s="3" t="s">
        <v>28</v>
      </c>
    </row>
    <row r="111" spans="2:8" x14ac:dyDescent="0.2">
      <c r="C111" s="14"/>
      <c r="G111" s="14"/>
    </row>
    <row r="112" spans="2:8" x14ac:dyDescent="0.2">
      <c r="G112" s="14"/>
    </row>
    <row r="113" spans="1:7" x14ac:dyDescent="0.2">
      <c r="G113" s="14"/>
    </row>
    <row r="115" spans="1:7" x14ac:dyDescent="0.2">
      <c r="F115" s="9"/>
    </row>
    <row r="116" spans="1:7" x14ac:dyDescent="0.2">
      <c r="D116" s="8"/>
      <c r="E116" s="10"/>
    </row>
    <row r="117" spans="1:7" x14ac:dyDescent="0.2">
      <c r="A117" s="7"/>
    </row>
  </sheetData>
  <mergeCells count="22">
    <mergeCell ref="F82:H82"/>
    <mergeCell ref="F95:H95"/>
    <mergeCell ref="F41:H41"/>
    <mergeCell ref="B11:D11"/>
    <mergeCell ref="F11:H11"/>
    <mergeCell ref="B27:D27"/>
    <mergeCell ref="B45:D45"/>
    <mergeCell ref="B60:D60"/>
    <mergeCell ref="F26:H26"/>
    <mergeCell ref="F28:H28"/>
    <mergeCell ref="F31:H31"/>
    <mergeCell ref="F35:H35"/>
    <mergeCell ref="B82:D82"/>
    <mergeCell ref="B95:D95"/>
    <mergeCell ref="F24:H24"/>
    <mergeCell ref="F39:H39"/>
    <mergeCell ref="F58:H58"/>
    <mergeCell ref="B68:D68"/>
    <mergeCell ref="M5:P5"/>
    <mergeCell ref="M17:P17"/>
    <mergeCell ref="F19:H19"/>
    <mergeCell ref="M29:P29"/>
  </mergeCells>
  <conditionalFormatting sqref="H44">
    <cfRule type="cellIs" dxfId="1" priority="1" operator="equal">
      <formula>"ALTERAR TDH"</formula>
    </cfRule>
    <cfRule type="cellIs" dxfId="0" priority="2" operator="equal">
      <formula>"ok"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1</xdr:col>
                <xdr:colOff>304800</xdr:colOff>
                <xdr:row>57</xdr:row>
                <xdr:rowOff>25400</xdr:rowOff>
              </from>
              <to>
                <xdr:col>1</xdr:col>
                <xdr:colOff>812800</xdr:colOff>
                <xdr:row>57</xdr:row>
                <xdr:rowOff>152400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"/>
  <sheetViews>
    <sheetView workbookViewId="0"/>
  </sheetViews>
  <sheetFormatPr baseColWidth="10" defaultColWidth="8.83203125"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BNR Design</vt:lpstr>
      <vt:lpstr>Fluxograma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Microsoft Office User</cp:lastModifiedBy>
  <cp:lastPrinted>2009-03-03T18:45:21Z</cp:lastPrinted>
  <dcterms:created xsi:type="dcterms:W3CDTF">2007-11-27T01:05:29Z</dcterms:created>
  <dcterms:modified xsi:type="dcterms:W3CDTF">2020-10-28T02:30:20Z</dcterms:modified>
</cp:coreProperties>
</file>